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<sst xmlns="http://schemas.openxmlformats.org/spreadsheetml/2006/main" count="1122" uniqueCount="503">
  <si>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</si>
  <si>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</si>
  <si>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</si>
  <si>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</si>
  <si>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</si>
  <si>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</si>
  <si>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</si>
  <si>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</si>
  <si>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</si>
  <si>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</si>
  <si>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</si>
  <si>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</si>
  <si>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</si>
  <si>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</si>
  <si>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</si>
  <si>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</si>
  <si>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</si>
  <si>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</si>
  <si>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</si>
  <si>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</si>
  <si>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</si>
  <si>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</si>
  <si>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</si>
  <si>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</si>
  <si>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</si>
  <si>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</si>
  <si>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</si>
  <si>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</si>
  <si>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</si>
  <si>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</si>
  <si>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</si>
  <si>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</si>
  <si>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</si>
  <si>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</si>
  <si>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</si>
  <si>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</si>
  <si>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</si>
  <si>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</si>
  <si>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</si>
  <si>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</si>
  <si>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</si>
  <si>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</si>
  <si>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</si>
  <si>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</si>
  <si>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</si>
  <si>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</si>
  <si>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</si>
  <si>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</si>
  <si>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</si>
  <si>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</si>
  <si>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</si>
  <si>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</si>
  <si>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</si>
  <si>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</si>
  <si>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</si>
  <si>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</si>
  <si>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</si>
  <si>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</si>
  <si>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</si>
  <si>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</si>
  <si>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</si>
  <si>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</si>
  <si>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</si>
  <si>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</si>
  <si>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</si>
  <si>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</si>
  <si>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</si>
  <si>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</si>
  <si>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</si>
  <si>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</si>
  <si>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</si>
  <si>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</si>
  <si>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</si>
  <si>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</si>
  <si>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</si>
  <si>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</si>
  <si>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</si>
  <si>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</si>
  <si>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</si>
  <si>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</si>
  <si>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</si>
  <si>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</si>
  <si>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</si>
  <si>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</si>
  <si>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</si>
  <si>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</si>
  <si>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</si>
  <si>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</si>
  <si>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</si>
  <si>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</si>
  <si>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</si>
  <si>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</si>
  <si>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</si>
  <si>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</si>
  <si>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</si>
  <si>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</si>
  <si>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</si>
  <si>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</si>
  <si>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</si>
  <si>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</si>
  <si>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</si>
  <si>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</si>
  <si>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</si>
  <si>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</si>
  <si>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</si>
  <si>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</si>
  <si>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</si>
  <si>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</si>
  <si>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</si>
  <si>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</si>
  <si>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</si>
  <si>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</si>
  <si>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</si>
  <si>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</si>
  <si>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</si>
  <si>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</si>
  <si>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</si>
  <si>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</si>
  <si>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</si>
  <si>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</si>
  <si>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</si>
  <si>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</si>
  <si>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</si>
  <si>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</si>
  <si>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</si>
  <si>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</si>
  <si>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</si>
  <si>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</si>
  <si>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</si>
  <si>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</si>
  <si>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</si>
  <si>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</si>
  <si>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</si>
  <si>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</si>
  <si>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</si>
  <si>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</si>
  <si>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</si>
  <si>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</si>
  <si>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</si>
  <si>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</si>
  <si>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</si>
  <si>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</si>
  <si>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</si>
  <si>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</si>
  <si>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</si>
  <si>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</si>
  <si>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</si>
  <si>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</si>
  <si>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</si>
  <si>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</si>
  <si>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</si>
  <si>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</si>
  <si>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</si>
  <si>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</si>
  <si>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</si>
  <si>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</si>
  <si>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</si>
  <si>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</si>
  <si>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</si>
  <si>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</si>
  <si>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</si>
  <si>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</si>
  <si>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</si>
  <si>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</si>
  <si>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</si>
  <si>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</si>
  <si>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</si>
  <si>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</si>
  <si>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</si>
  <si>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</si>
  <si>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</si>
  <si>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</si>
  <si>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</si>
  <si>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</si>
  <si>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</si>
  <si>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</si>
  <si>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</si>
  <si>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</si>
  <si>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</si>
  <si>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</si>
  <si>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</si>
  <si>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</si>
  <si>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</si>
  <si>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</si>
  <si>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</si>
  <si>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</si>
  <si>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</si>
  <si>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</si>
  <si>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</si>
  <si>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</si>
  <si>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</si>
  <si>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</si>
  <si>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</si>
  <si>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</si>
  <si>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</si>
  <si>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</si>
  <si>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</si>
  <si>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</si>
  <si>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</si>
  <si>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</si>
  <si>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</si>
  <si>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</si>
  <si>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</si>
  <si>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</si>
  <si>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</si>
  <si>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</si>
  <si>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</si>
  <si>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</si>
  <si>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</si>
  <si>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</si>
  <si>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</si>
  <si>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</si>
  <si>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</si>
  <si>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</si>
  <si>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</si>
  <si>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</si>
  <si>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</si>
  <si>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</si>
  <si>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</si>
  <si>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</si>
  <si>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</si>
  <si>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</si>
  <si>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</si>
  <si>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</si>
  <si>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</si>
  <si>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</si>
  <si>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</si>
  <si>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</si>
  <si>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</si>
  <si>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</si>
  <si>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</si>
  <si>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</si>
  <si>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</si>
  <si>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</si>
  <si>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</si>
  <si>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</si>
  <si>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</si>
  <si>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</si>
  <si>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</si>
  <si>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</si>
  <si>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</si>
  <si>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</si>
  <si>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</si>
  <si>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</si>
  <si>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</si>
  <si>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</si>
  <si>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</si>
  <si>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</si>
  <si>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</si>
  <si>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</si>
  <si>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</si>
  <si>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</si>
  <si>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</si>
  <si>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</si>
  <si>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</si>
  <si>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</si>
  <si>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</si>
  <si>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</si>
  <si>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</si>
  <si>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</si>
  <si>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</si>
  <si>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</si>
  <si>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</si>
  <si>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</si>
  <si>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</si>
  <si>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</si>
  <si>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</si>
  <si>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</si>
  <si>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</si>
  <si>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</si>
  <si>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</si>
  <si>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</si>
  <si>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</si>
  <si>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</si>
  <si>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</si>
  <si>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</si>
  <si>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</si>
  <si>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</si>
  <si>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YTD PERIOD ENDED SEPTEMBER 30, 2008</t>
  </si>
  <si>
    <t>QTD PERIOD ENDED SEPTEMBER 30, 2008</t>
  </si>
  <si>
    <t>CURRENT LOSS EXPENSE RESERVES               @ 9-30-08</t>
  </si>
  <si>
    <t>YTD PERIOD ENDING SEPTEMBER 30, 2008</t>
  </si>
  <si>
    <t>QTD PERIOD ENDING SEPTEMBER 30, 2008</t>
  </si>
  <si>
    <t>PRIOR LOSS  EXPENSE RESERVES                     @ 6-30-08</t>
  </si>
  <si>
    <t>CURRENT CASE BASIS RESERVES (9-30-08)</t>
  </si>
  <si>
    <t>CURRENT I.B.N.R. RESERVES (9-30-08)</t>
  </si>
  <si>
    <t>PRIOR LOSS RESERVES (6-30-08)</t>
  </si>
  <si>
    <t>CURRENT UNEARNED PREMIUM RESERVE              @ 9-30-08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</si>
  <si>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</si>
  <si>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3Q08</t>
  </si>
  <si>
    <t>PRIOR UNEARNED PREMIUM RESERVE                     @ 6-30-08</t>
  </si>
  <si>
    <t>9-30-08</t>
  </si>
  <si>
    <t>SEPTEMBER 30, 2008</t>
  </si>
  <si>
    <t>NET EQUITY AT SEPTEMBER 30, 2008</t>
  </si>
  <si>
    <t>AT SEPTEMBER 30, 2008</t>
  </si>
  <si>
    <t xml:space="preserve">     NET EQUITY AT SEPTEMBER 30, 2008</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</si>
  <si>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</si>
  <si>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</si>
  <si>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</si>
  <si>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</si>
  <si>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</si>
  <si>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</si>
  <si>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</si>
  <si>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</si>
  <si>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</si>
  <si>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</si>
  <si>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</si>
  <si>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</si>
  <si>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</si>
  <si>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</si>
  <si>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</si>
  <si>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</si>
  <si>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</si>
  <si>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</si>
  <si>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</si>
  <si>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</si>
  <si>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</si>
  <si>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</si>
  <si>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</si>
  <si>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</si>
  <si>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</si>
  <si>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</si>
  <si>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</si>
  <si>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</si>
  <si>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</si>
  <si>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</si>
  <si>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 xml:space="preserve">Underwriting Gain </t>
  </si>
  <si>
    <t xml:space="preserve">Net Gain </t>
  </si>
  <si>
    <r>
      <t xml:space="preserve">     NET GAIN</t>
    </r>
    <r>
      <rPr>
        <sz val="11"/>
        <rFont val="Century Schoolbook"/>
        <family val="1"/>
      </rPr>
      <t xml:space="preserve"> FOR PERIOD</t>
    </r>
  </si>
  <si>
    <t>LOSS EXPENSES PAID                                      (ALAE AND ULAE)</t>
  </si>
  <si>
    <t>POLICY YEAR 2005</t>
  </si>
  <si>
    <t>POLICY YEAR 2007</t>
  </si>
  <si>
    <t xml:space="preserve">     PREMIUMS RECEIVABLE</t>
  </si>
  <si>
    <t>*Note: The Terrorism Risk Insurance Program Reauthorization Act of 2007 requires insurers to report direct earned premium for commercial business written.  This amount is shown on page 8.</t>
  </si>
  <si>
    <t xml:space="preserve"> UNDERWRITING GAIN</t>
  </si>
  <si>
    <t xml:space="preserve"> NET GAIN</t>
  </si>
  <si>
    <t>2Q08</t>
  </si>
  <si>
    <t>POLICY YEAR 2008</t>
  </si>
  <si>
    <t>POLICY YEAR 2004 &amp; PRIOR</t>
  </si>
  <si>
    <t>PRIOR LOSS  EXPENSE RESERVES                     @ 12-31-07</t>
  </si>
  <si>
    <t>PRIOR LOSS RESERVES (12-31-07)</t>
  </si>
  <si>
    <t>PRIOR UNEARNED PREMIUM RESERVE                     @ 12-31-07</t>
  </si>
  <si>
    <r>
      <t xml:space="preserve">                                           </t>
    </r>
    <r>
      <rPr>
        <b/>
        <sz val="9"/>
        <rFont val="Century Schoolbook"/>
        <family val="1"/>
      </rPr>
      <t xml:space="preserve">      1Q07</t>
    </r>
    <r>
      <rPr>
        <sz val="9"/>
        <rFont val="Century Schoolbook"/>
        <family val="1"/>
      </rPr>
      <t xml:space="preserve">          373,063</t>
    </r>
  </si>
  <si>
    <t>1Q08</t>
  </si>
  <si>
    <r>
      <t xml:space="preserve">                                           </t>
    </r>
    <r>
      <rPr>
        <b/>
        <sz val="9"/>
        <rFont val="Century Schoolbook"/>
        <family val="1"/>
      </rPr>
      <t xml:space="preserve">      2Q07</t>
    </r>
    <r>
      <rPr>
        <sz val="9"/>
        <rFont val="Century Schoolbook"/>
        <family val="1"/>
      </rPr>
      <t xml:space="preserve">          353,077</t>
    </r>
  </si>
  <si>
    <r>
      <t xml:space="preserve">                                           </t>
    </r>
    <r>
      <rPr>
        <b/>
        <sz val="9"/>
        <rFont val="Century Schoolbook"/>
        <family val="1"/>
      </rPr>
      <t xml:space="preserve">      3Q07</t>
    </r>
    <r>
      <rPr>
        <sz val="9"/>
        <rFont val="Century Schoolbook"/>
        <family val="1"/>
      </rPr>
      <t xml:space="preserve">          336,591</t>
    </r>
  </si>
  <si>
    <r>
      <t xml:space="preserve">                                           </t>
    </r>
    <r>
      <rPr>
        <b/>
        <sz val="9"/>
        <rFont val="Century Schoolbook"/>
        <family val="1"/>
      </rPr>
      <t xml:space="preserve">      4Q07</t>
    </r>
    <r>
      <rPr>
        <sz val="9"/>
        <rFont val="Century Schoolbook"/>
        <family val="1"/>
      </rPr>
      <t xml:space="preserve">          321,577</t>
    </r>
  </si>
  <si>
    <t xml:space="preserve">     CHANGE IN PENSION OBLIGATION</t>
  </si>
  <si>
    <t xml:space="preserve">      CHANGE IN PENSION OBLIGATION</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</si>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</sst>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00%\ ;[Red]\ \(0.00%\)"/>
    <numFmt numFmtId="174" formatCode="0%\ ;[Red]\ \(0%\)"/>
    <numFmt numFmtId="175" formatCode="#,##0;\(#,##0\)"/>
    <numFmt numFmtId="176" formatCode="&quot;$&quot;#,##0;\(&quot;$&quot;#,##0\)"/>
    <numFmt numFmtId="177" formatCode="#,###,##0;\(#,###,##0\);&quot;  -  &quot;"/>
    <numFmt numFmtId="178" formatCode="&quot;$&quot;#,###,##0;\(&quot;$&quot;#,###,##0\);&quot;  -  &quot;"/>
    <numFmt numFmtId="179" formatCode="m/d/yy"/>
    <numFmt numFmtId="180" formatCode="#,###,##0.00;\(#,###,##0.00\);&quot;  -  &quot;"/>
    <numFmt numFmtId="181" formatCode="0_);[Red]\(0\)"/>
  </numFmts>
  <fonts count="72">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25" fillId="0" borderId="0" applyNumberFormat="0" applyBorder="0" applyAlignment="0">
      <protection/>
    </xf>
    <xf numFmtId="0" fontId="21" fillId="0" borderId="0" applyNumberFormat="0" applyBorder="0" applyAlignment="0">
      <protection/>
    </xf>
    <xf numFmtId="0" fontId="69" fillId="0" borderId="0" applyNumberFormat="0" applyBorder="0" applyAlignment="0">
      <protection/>
    </xf>
    <xf numFmtId="0" fontId="15" fillId="0" borderId="0" applyNumberFormat="0" applyBorder="0" applyAlignment="0">
      <protection/>
    </xf>
  </cellStyleXfs>
  <cellXfs count="1019">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0" applyNumberFormat="1" applyFont="1" applyAlignment="1">
      <alignment/>
    </xf>
    <xf numFmtId="164" fontId="21" fillId="7" borderId="0" xfId="15" applyNumberFormat="1" applyFont="1" applyFill="1" applyAlignment="1">
      <alignment horizontal="centerContinuous" wrapText="1"/>
    </xf>
    <xf numFmtId="164" fontId="21" fillId="7" borderId="0" xfId="15" applyNumberFormat="1" applyFont="1" applyFill="1" applyBorder="1" applyAlignment="1">
      <alignment horizontal="centerContinuous" wrapText="1"/>
    </xf>
    <xf numFmtId="174" fontId="14" fillId="0" borderId="0" xfId="0" applyNumberFormat="1" applyFont="1" applyBorder="1" applyAlignment="1">
      <alignment horizontal="center"/>
    </xf>
    <xf numFmtId="6" fontId="14" fillId="0" borderId="0" xfId="15" applyNumberFormat="1" applyFont="1" applyFill="1" applyBorder="1" applyAlignment="1">
      <alignment horizontal="right"/>
    </xf>
    <xf numFmtId="38" fontId="14" fillId="0" borderId="0" xfId="15" applyNumberFormat="1" applyFont="1" applyBorder="1" applyAlignment="1">
      <alignment horizontal="right"/>
    </xf>
    <xf numFmtId="6" fontId="10" fillId="0" borderId="6" xfId="15" applyNumberFormat="1" applyFont="1" applyBorder="1" applyAlignment="1">
      <alignment horizontal="right"/>
    </xf>
    <xf numFmtId="38" fontId="14" fillId="0" borderId="0" xfId="15" applyNumberFormat="1" applyFont="1" applyFill="1" applyAlignment="1">
      <alignment horizontal="right"/>
    </xf>
    <xf numFmtId="38" fontId="14" fillId="0" borderId="0" xfId="15" applyNumberFormat="1" applyFont="1" applyAlignment="1">
      <alignment/>
    </xf>
    <xf numFmtId="38" fontId="14" fillId="0" borderId="5" xfId="15" applyNumberFormat="1" applyFont="1" applyBorder="1" applyAlignment="1">
      <alignment/>
    </xf>
    <xf numFmtId="6" fontId="10" fillId="0" borderId="6" xfId="15" applyNumberFormat="1" applyFont="1" applyBorder="1" applyAlignment="1">
      <alignment/>
    </xf>
    <xf numFmtId="38" fontId="14" fillId="0" borderId="5" xfId="15" applyNumberFormat="1" applyFont="1" applyFill="1" applyBorder="1" applyAlignment="1">
      <alignment/>
    </xf>
    <xf numFmtId="38" fontId="14" fillId="0" borderId="0" xfId="15" applyNumberFormat="1" applyFont="1" applyFill="1" applyAlignment="1">
      <alignment/>
    </xf>
    <xf numFmtId="6" fontId="10" fillId="0" borderId="6" xfId="15" applyNumberFormat="1" applyFont="1" applyFill="1" applyBorder="1" applyAlignment="1">
      <alignment horizontal="right"/>
    </xf>
    <xf numFmtId="38" fontId="14" fillId="0" borderId="5" xfId="15" applyNumberFormat="1" applyFont="1" applyFill="1" applyBorder="1" applyAlignment="1">
      <alignment horizontal="right"/>
    </xf>
    <xf numFmtId="38" fontId="14" fillId="0" borderId="4" xfId="15" applyNumberFormat="1" applyFont="1" applyBorder="1" applyAlignment="1">
      <alignment horizontal="right"/>
    </xf>
    <xf numFmtId="38" fontId="14" fillId="0" borderId="27" xfId="15" applyNumberFormat="1" applyFont="1" applyBorder="1" applyAlignment="1">
      <alignment/>
    </xf>
    <xf numFmtId="38" fontId="14" fillId="0" borderId="28" xfId="15" applyNumberFormat="1" applyFont="1" applyBorder="1" applyAlignment="1">
      <alignment/>
    </xf>
    <xf numFmtId="38" fontId="14" fillId="0" borderId="0" xfId="15" applyNumberFormat="1" applyFont="1" applyBorder="1" applyAlignment="1">
      <alignment/>
    </xf>
    <xf numFmtId="38" fontId="14" fillId="0" borderId="22" xfId="15" applyNumberFormat="1" applyFont="1" applyBorder="1" applyAlignment="1">
      <alignment/>
    </xf>
    <xf numFmtId="6" fontId="10" fillId="0" borderId="33" xfId="15" applyNumberFormat="1" applyFont="1" applyBorder="1" applyAlignment="1">
      <alignment/>
    </xf>
    <xf numFmtId="38" fontId="10" fillId="0" borderId="0" xfId="15" applyNumberFormat="1" applyFont="1" applyFill="1" applyBorder="1" applyAlignment="1">
      <alignment horizontal="right"/>
    </xf>
    <xf numFmtId="6" fontId="14" fillId="0" borderId="0" xfId="17" applyNumberFormat="1" applyFont="1" applyFill="1" applyBorder="1" applyAlignment="1">
      <alignment/>
    </xf>
    <xf numFmtId="38" fontId="14" fillId="0" borderId="5" xfId="15" applyNumberFormat="1" applyFont="1" applyFill="1" applyBorder="1" applyAlignment="1">
      <alignment/>
    </xf>
    <xf numFmtId="38" fontId="14" fillId="0" borderId="0" xfId="15" applyNumberFormat="1" applyFont="1" applyFill="1" applyBorder="1" applyAlignment="1">
      <alignment/>
    </xf>
    <xf numFmtId="38" fontId="10" fillId="0" borderId="5" xfId="15" applyNumberFormat="1" applyFont="1" applyFill="1" applyBorder="1" applyAlignment="1">
      <alignment/>
    </xf>
    <xf numFmtId="6" fontId="10" fillId="0" borderId="6" xfId="15" applyNumberFormat="1" applyFont="1" applyFill="1" applyBorder="1" applyAlignment="1">
      <alignment/>
    </xf>
    <xf numFmtId="38" fontId="10" fillId="0" borderId="6" xfId="15" applyNumberFormat="1" applyFont="1" applyFill="1" applyBorder="1" applyAlignment="1">
      <alignment/>
    </xf>
    <xf numFmtId="0" fontId="70" fillId="0" borderId="0" xfId="0" applyFont="1" applyAlignment="1">
      <alignment/>
    </xf>
    <xf numFmtId="5" fontId="70" fillId="0" borderId="0" xfId="15" applyNumberFormat="1" applyFont="1" applyAlignment="1">
      <alignment horizontal="right"/>
    </xf>
    <xf numFmtId="0" fontId="14" fillId="0" borderId="0" xfId="0" applyFont="1" applyFill="1" applyBorder="1" applyAlignment="1">
      <alignment/>
    </xf>
    <xf numFmtId="14" fontId="14" fillId="0" borderId="0" xfId="0" applyNumberFormat="1" applyFont="1" applyFill="1" applyBorder="1" applyAlignment="1">
      <alignment/>
    </xf>
    <xf numFmtId="6" fontId="14" fillId="0" borderId="0" xfId="15" applyNumberFormat="1" applyFont="1" applyAlignment="1">
      <alignment/>
    </xf>
    <xf numFmtId="38" fontId="14" fillId="0" borderId="20" xfId="15" applyNumberFormat="1" applyFont="1" applyFill="1" applyBorder="1" applyAlignment="1">
      <alignment/>
    </xf>
    <xf numFmtId="41" fontId="14" fillId="0" borderId="0" xfId="15" applyNumberFormat="1" applyFont="1" applyAlignment="1">
      <alignment/>
    </xf>
    <xf numFmtId="43" fontId="14" fillId="0" borderId="0" xfId="15" applyNumberFormat="1" applyFont="1" applyFill="1" applyBorder="1" applyAlignment="1">
      <alignment/>
    </xf>
    <xf numFmtId="5" fontId="70" fillId="0" borderId="0" xfId="15" applyNumberFormat="1" applyFont="1" applyAlignment="1" quotePrefix="1">
      <alignment horizontal="right"/>
    </xf>
    <xf numFmtId="7" fontId="13" fillId="0" borderId="27" xfId="0" applyNumberFormat="1" applyFont="1" applyFill="1" applyBorder="1" applyAlignment="1" quotePrefix="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1" fillId="0" borderId="14" xfId="0" applyNumberFormat="1" applyFont="1" applyFill="1" applyBorder="1" applyAlignment="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7" fontId="18"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0" fontId="18" fillId="0" borderId="21" xfId="0" applyFont="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18" fillId="0" borderId="21" xfId="0" applyNumberFormat="1" applyFont="1" applyBorder="1" applyAlignment="1">
      <alignment horizontal="center"/>
    </xf>
    <xf numFmtId="43" fontId="18" fillId="0" borderId="31"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Percent" xfId="21"/>
    <cellStyle name="STYLE1" xfId="22"/>
    <cellStyle name="STYLE2" xfId="23"/>
    <cellStyle name="STYLE3" xfId="24"/>
    <cellStyle name="STYLE4" xfId="25"/>
    <cellStyle name="STYLE5" xfId="26"/>
    <cellStyle name="STYLE6" xfId="27"/>
    <cellStyle name="STYLE7"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Q08%20Trial%20Bal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Q08%20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Q08 Trial Balance"/>
    </sheetNames>
    <sheetDataSet>
      <sheetData sheetId="0">
        <row r="18">
          <cell r="F18">
            <v>1671165</v>
          </cell>
        </row>
        <row r="22">
          <cell r="F22">
            <v>12635431</v>
          </cell>
        </row>
        <row r="25">
          <cell r="F25">
            <v>113840</v>
          </cell>
        </row>
        <row r="29">
          <cell r="F29">
            <v>22505</v>
          </cell>
        </row>
        <row r="37">
          <cell r="F37">
            <v>14688</v>
          </cell>
        </row>
        <row r="41">
          <cell r="F41">
            <v>39900</v>
          </cell>
        </row>
        <row r="57">
          <cell r="F57">
            <v>23364</v>
          </cell>
        </row>
        <row r="65">
          <cell r="E65">
            <v>-367843</v>
          </cell>
        </row>
        <row r="66">
          <cell r="E66">
            <v>-107915</v>
          </cell>
        </row>
        <row r="67">
          <cell r="E67">
            <v>-936</v>
          </cell>
        </row>
        <row r="69">
          <cell r="E69">
            <v>-5368384</v>
          </cell>
        </row>
        <row r="70">
          <cell r="E70">
            <v>-1660754</v>
          </cell>
        </row>
        <row r="71">
          <cell r="E71">
            <v>-21546</v>
          </cell>
        </row>
        <row r="73">
          <cell r="F73">
            <v>-7527378</v>
          </cell>
        </row>
        <row r="90">
          <cell r="F90">
            <v>-2323213</v>
          </cell>
        </row>
        <row r="101">
          <cell r="F101">
            <v>-1155335</v>
          </cell>
        </row>
        <row r="120">
          <cell r="F120">
            <v>-300446</v>
          </cell>
        </row>
        <row r="137">
          <cell r="F137">
            <v>-112546</v>
          </cell>
        </row>
        <row r="143">
          <cell r="F143">
            <v>-25740</v>
          </cell>
        </row>
        <row r="147">
          <cell r="F147">
            <v>-9226</v>
          </cell>
        </row>
        <row r="150">
          <cell r="F150">
            <v>-8819</v>
          </cell>
        </row>
        <row r="159">
          <cell r="F159">
            <v>-210561</v>
          </cell>
        </row>
        <row r="187">
          <cell r="F187">
            <v>-232832</v>
          </cell>
        </row>
        <row r="190">
          <cell r="F190">
            <v>-2219814</v>
          </cell>
        </row>
        <row r="193">
          <cell r="F193">
            <v>-466356</v>
          </cell>
        </row>
        <row r="196">
          <cell r="F196">
            <v>-294271</v>
          </cell>
        </row>
        <row r="203">
          <cell r="F203">
            <v>-129651</v>
          </cell>
        </row>
        <row r="211">
          <cell r="C211">
            <v>-63982</v>
          </cell>
        </row>
        <row r="220">
          <cell r="C220">
            <v>430</v>
          </cell>
          <cell r="E220">
            <v>6084</v>
          </cell>
        </row>
        <row r="221">
          <cell r="C221">
            <v>144</v>
          </cell>
          <cell r="E221">
            <v>3209</v>
          </cell>
        </row>
        <row r="223">
          <cell r="C223">
            <v>21152</v>
          </cell>
          <cell r="E223">
            <v>18090</v>
          </cell>
        </row>
        <row r="224">
          <cell r="C224">
            <v>6535</v>
          </cell>
          <cell r="E224">
            <v>9490</v>
          </cell>
        </row>
        <row r="225">
          <cell r="C225">
            <v>36</v>
          </cell>
          <cell r="E225">
            <v>668</v>
          </cell>
        </row>
        <row r="227">
          <cell r="C227">
            <v>-2842510</v>
          </cell>
          <cell r="E227">
            <v>-8655601</v>
          </cell>
        </row>
        <row r="228">
          <cell r="C228">
            <v>-896458</v>
          </cell>
          <cell r="E228">
            <v>-2644549</v>
          </cell>
        </row>
        <row r="229">
          <cell r="C229">
            <v>-13272</v>
          </cell>
          <cell r="E229">
            <v>-32729</v>
          </cell>
        </row>
        <row r="262">
          <cell r="D262">
            <v>-110910</v>
          </cell>
          <cell r="F262">
            <v>-384010</v>
          </cell>
        </row>
        <row r="285">
          <cell r="D285">
            <v>-1732</v>
          </cell>
          <cell r="F285">
            <v>-10066</v>
          </cell>
        </row>
        <row r="287">
          <cell r="D287">
            <v>-4641</v>
          </cell>
          <cell r="F287">
            <v>-15814</v>
          </cell>
        </row>
        <row r="289">
          <cell r="D289">
            <v>-225933</v>
          </cell>
          <cell r="F289">
            <v>-225933</v>
          </cell>
        </row>
        <row r="291">
          <cell r="C291">
            <v>0</v>
          </cell>
          <cell r="F291">
            <v>-28488</v>
          </cell>
        </row>
        <row r="293">
          <cell r="D293">
            <v>-232306</v>
          </cell>
          <cell r="F293">
            <v>-280301</v>
          </cell>
        </row>
        <row r="417">
          <cell r="D417">
            <v>-57</v>
          </cell>
          <cell r="F417">
            <v>-866</v>
          </cell>
        </row>
        <row r="421">
          <cell r="D421">
            <v>-2304</v>
          </cell>
          <cell r="F421">
            <v>-4077</v>
          </cell>
        </row>
        <row r="425">
          <cell r="D425">
            <v>335236</v>
          </cell>
          <cell r="F425">
            <v>1007734</v>
          </cell>
        </row>
        <row r="427">
          <cell r="D427">
            <v>332875</v>
          </cell>
          <cell r="F427">
            <v>1002791</v>
          </cell>
        </row>
        <row r="430">
          <cell r="D430">
            <v>8641</v>
          </cell>
          <cell r="F430">
            <v>33861</v>
          </cell>
        </row>
        <row r="432">
          <cell r="D432">
            <v>3300</v>
          </cell>
          <cell r="F432">
            <v>10725</v>
          </cell>
        </row>
        <row r="436">
          <cell r="D436">
            <v>28760</v>
          </cell>
          <cell r="F436">
            <v>93199</v>
          </cell>
        </row>
        <row r="438">
          <cell r="D438">
            <v>40701</v>
          </cell>
          <cell r="F438">
            <v>137785</v>
          </cell>
        </row>
        <row r="759">
          <cell r="D759">
            <v>1019025</v>
          </cell>
          <cell r="F759">
            <v>3245457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npaid Loss Reserves-13"/>
      <sheetName val="Unpaid Loss Expense Reserves-14"/>
      <sheetName val="Loss Expenses Paid QTD-15"/>
      <sheetName val="Loss Expenses Paid YTD-16"/>
    </sheetNames>
    <sheetDataSet>
      <sheetData sheetId="0">
        <row r="8">
          <cell r="B8">
            <v>0</v>
          </cell>
          <cell r="D8">
            <v>68981</v>
          </cell>
        </row>
        <row r="9">
          <cell r="B9">
            <v>0</v>
          </cell>
          <cell r="D9">
            <v>1000</v>
          </cell>
        </row>
        <row r="10">
          <cell r="B10">
            <v>0</v>
          </cell>
          <cell r="D10">
            <v>0</v>
          </cell>
        </row>
        <row r="15">
          <cell r="B15">
            <v>0</v>
          </cell>
          <cell r="D15">
            <v>51005</v>
          </cell>
        </row>
        <row r="16">
          <cell r="B16">
            <v>0</v>
          </cell>
          <cell r="D16">
            <v>5301</v>
          </cell>
        </row>
        <row r="17">
          <cell r="B17">
            <v>0</v>
          </cell>
          <cell r="D17">
            <v>0</v>
          </cell>
        </row>
        <row r="22">
          <cell r="B22">
            <v>12636</v>
          </cell>
          <cell r="D22">
            <v>98727</v>
          </cell>
        </row>
        <row r="23">
          <cell r="B23">
            <v>384</v>
          </cell>
          <cell r="D23">
            <v>3000</v>
          </cell>
        </row>
        <row r="24">
          <cell r="B24">
            <v>0</v>
          </cell>
          <cell r="D24">
            <v>0</v>
          </cell>
        </row>
        <row r="28">
          <cell r="B28">
            <v>213328</v>
          </cell>
          <cell r="D28">
            <v>1248157</v>
          </cell>
        </row>
        <row r="29">
          <cell r="B29">
            <v>20446</v>
          </cell>
          <cell r="D29">
            <v>119627</v>
          </cell>
        </row>
        <row r="30">
          <cell r="B30">
            <v>0</v>
          </cell>
          <cell r="D30">
            <v>0</v>
          </cell>
        </row>
        <row r="35">
          <cell r="B35">
            <v>829983</v>
          </cell>
          <cell r="D35">
            <v>664518</v>
          </cell>
        </row>
        <row r="36">
          <cell r="B36">
            <v>78558</v>
          </cell>
          <cell r="D36">
            <v>62897</v>
          </cell>
        </row>
        <row r="37">
          <cell r="B37">
            <v>0</v>
          </cell>
          <cell r="D37">
            <v>0</v>
          </cell>
        </row>
      </sheetData>
      <sheetData sheetId="1">
        <row r="22">
          <cell r="B22">
            <v>148641</v>
          </cell>
          <cell r="C22">
            <v>173447</v>
          </cell>
          <cell r="D22">
            <v>40267</v>
          </cell>
          <cell r="E22">
            <v>10985</v>
          </cell>
          <cell r="F22">
            <v>2578</v>
          </cell>
        </row>
        <row r="23">
          <cell r="B23">
            <v>14069</v>
          </cell>
          <cell r="C23">
            <v>16623</v>
          </cell>
          <cell r="D23">
            <v>1223</v>
          </cell>
          <cell r="E23">
            <v>1141</v>
          </cell>
          <cell r="F23">
            <v>4018</v>
          </cell>
        </row>
        <row r="24">
          <cell r="B24">
            <v>0</v>
          </cell>
          <cell r="C24">
            <v>0</v>
          </cell>
          <cell r="D24">
            <v>0</v>
          </cell>
          <cell r="E24">
            <v>0</v>
          </cell>
          <cell r="F24">
            <v>0</v>
          </cell>
        </row>
      </sheetData>
      <sheetData sheetId="2">
        <row r="9">
          <cell r="E9">
            <v>0</v>
          </cell>
          <cell r="K9">
            <v>0</v>
          </cell>
        </row>
        <row r="10">
          <cell r="E10">
            <v>29000</v>
          </cell>
          <cell r="K10">
            <v>6059</v>
          </cell>
        </row>
        <row r="11">
          <cell r="E11">
            <v>0</v>
          </cell>
          <cell r="K11">
            <v>0</v>
          </cell>
        </row>
        <row r="12">
          <cell r="C12">
            <v>4116</v>
          </cell>
          <cell r="I12">
            <v>1943</v>
          </cell>
        </row>
        <row r="15">
          <cell r="E15">
            <v>525</v>
          </cell>
          <cell r="K15">
            <v>9270</v>
          </cell>
        </row>
        <row r="16">
          <cell r="E16">
            <v>-1773</v>
          </cell>
          <cell r="K16">
            <v>445</v>
          </cell>
        </row>
        <row r="17">
          <cell r="E17">
            <v>0</v>
          </cell>
          <cell r="K17">
            <v>0</v>
          </cell>
        </row>
        <row r="18">
          <cell r="C18">
            <v>9799</v>
          </cell>
          <cell r="I18">
            <v>-84</v>
          </cell>
        </row>
        <row r="21">
          <cell r="E21">
            <v>190205</v>
          </cell>
          <cell r="K21">
            <v>35684</v>
          </cell>
        </row>
        <row r="22">
          <cell r="E22">
            <v>0</v>
          </cell>
          <cell r="K22">
            <v>1124</v>
          </cell>
        </row>
        <row r="23">
          <cell r="E23">
            <v>0</v>
          </cell>
          <cell r="K23">
            <v>0</v>
          </cell>
        </row>
        <row r="24">
          <cell r="C24">
            <v>24064</v>
          </cell>
          <cell r="I24">
            <v>12744</v>
          </cell>
        </row>
        <row r="27">
          <cell r="E27">
            <v>968867</v>
          </cell>
          <cell r="K27">
            <v>129456</v>
          </cell>
        </row>
        <row r="28">
          <cell r="E28">
            <v>337058</v>
          </cell>
          <cell r="K28">
            <v>67016</v>
          </cell>
        </row>
        <row r="29">
          <cell r="E29">
            <v>0</v>
          </cell>
          <cell r="K29">
            <v>0</v>
          </cell>
        </row>
        <row r="30">
          <cell r="C30">
            <v>108976</v>
          </cell>
          <cell r="I30">
            <v>87496</v>
          </cell>
        </row>
        <row r="33">
          <cell r="E33">
            <v>638407</v>
          </cell>
          <cell r="K33">
            <v>69527</v>
          </cell>
        </row>
        <row r="34">
          <cell r="E34">
            <v>87609</v>
          </cell>
          <cell r="K34">
            <v>31299</v>
          </cell>
        </row>
        <row r="35">
          <cell r="E35">
            <v>0</v>
          </cell>
          <cell r="K35">
            <v>0</v>
          </cell>
        </row>
        <row r="36">
          <cell r="C36">
            <v>52183</v>
          </cell>
          <cell r="I36">
            <v>48643</v>
          </cell>
        </row>
        <row r="42">
          <cell r="C42">
            <v>199138</v>
          </cell>
          <cell r="E42">
            <v>2249898</v>
          </cell>
          <cell r="I42">
            <v>150742</v>
          </cell>
        </row>
      </sheetData>
      <sheetData sheetId="3">
        <row r="9">
          <cell r="E9">
            <v>41019</v>
          </cell>
          <cell r="K9">
            <v>15557</v>
          </cell>
        </row>
        <row r="10">
          <cell r="E10">
            <v>29000</v>
          </cell>
          <cell r="K10">
            <v>10673</v>
          </cell>
        </row>
        <row r="11">
          <cell r="E11">
            <v>0</v>
          </cell>
          <cell r="K11">
            <v>0</v>
          </cell>
        </row>
        <row r="12">
          <cell r="C12">
            <v>20224</v>
          </cell>
          <cell r="I12">
            <v>6006</v>
          </cell>
        </row>
        <row r="15">
          <cell r="E15">
            <v>-1434</v>
          </cell>
          <cell r="K15">
            <v>22847</v>
          </cell>
        </row>
        <row r="16">
          <cell r="E16">
            <v>2570</v>
          </cell>
          <cell r="K16">
            <v>4657</v>
          </cell>
        </row>
        <row r="17">
          <cell r="E17">
            <v>0</v>
          </cell>
          <cell r="K17">
            <v>0</v>
          </cell>
        </row>
        <row r="18">
          <cell r="C18">
            <v>27352</v>
          </cell>
          <cell r="I18">
            <v>152</v>
          </cell>
        </row>
        <row r="21">
          <cell r="E21">
            <v>506577</v>
          </cell>
          <cell r="K21">
            <v>90318</v>
          </cell>
        </row>
        <row r="22">
          <cell r="E22">
            <v>27176</v>
          </cell>
          <cell r="K22">
            <v>14431</v>
          </cell>
        </row>
        <row r="23">
          <cell r="E23">
            <v>0</v>
          </cell>
          <cell r="K23">
            <v>0</v>
          </cell>
        </row>
        <row r="24">
          <cell r="C24">
            <v>63759</v>
          </cell>
          <cell r="I24">
            <v>40990</v>
          </cell>
        </row>
        <row r="27">
          <cell r="E27">
            <v>5019359</v>
          </cell>
          <cell r="K27">
            <v>607236</v>
          </cell>
        </row>
        <row r="28">
          <cell r="E28">
            <v>664250</v>
          </cell>
          <cell r="K28">
            <v>177787</v>
          </cell>
        </row>
        <row r="29">
          <cell r="E29">
            <v>302</v>
          </cell>
          <cell r="K29">
            <v>650</v>
          </cell>
        </row>
        <row r="30">
          <cell r="C30">
            <v>383427</v>
          </cell>
          <cell r="I30">
            <v>402246</v>
          </cell>
        </row>
        <row r="33">
          <cell r="E33">
            <v>743079</v>
          </cell>
          <cell r="K33">
            <v>82722</v>
          </cell>
        </row>
        <row r="34">
          <cell r="E34">
            <v>148725</v>
          </cell>
          <cell r="K34">
            <v>49384</v>
          </cell>
        </row>
        <row r="35">
          <cell r="E35">
            <v>0</v>
          </cell>
          <cell r="K35">
            <v>0</v>
          </cell>
        </row>
        <row r="36">
          <cell r="C36">
            <v>75278</v>
          </cell>
          <cell r="I36">
            <v>56828</v>
          </cell>
        </row>
        <row r="42">
          <cell r="C42">
            <v>570040</v>
          </cell>
          <cell r="E42">
            <v>7180623</v>
          </cell>
          <cell r="I42">
            <v>506222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6" t="s">
        <v>98</v>
      </c>
      <c r="B1" s="946"/>
      <c r="C1" s="946"/>
      <c r="D1" s="946"/>
      <c r="E1" s="946"/>
      <c r="F1" s="946"/>
      <c r="G1" s="946"/>
      <c r="H1" s="946"/>
      <c r="I1" s="946"/>
    </row>
    <row r="2" spans="1:7" s="20" customFormat="1" ht="18.75">
      <c r="A2" s="947"/>
      <c r="B2" s="947"/>
      <c r="C2" s="947"/>
      <c r="D2" s="947"/>
      <c r="E2" s="947"/>
      <c r="F2" s="370"/>
      <c r="G2" s="370"/>
    </row>
    <row r="3" spans="1:9" s="21" customFormat="1" ht="15">
      <c r="A3" s="948" t="s">
        <v>116</v>
      </c>
      <c r="B3" s="948"/>
      <c r="C3" s="948"/>
      <c r="D3" s="948"/>
      <c r="E3" s="948"/>
      <c r="F3" s="948"/>
      <c r="G3" s="948"/>
      <c r="H3" s="948"/>
      <c r="I3" s="948"/>
    </row>
    <row r="4" spans="1:9" s="21" customFormat="1" ht="15">
      <c r="A4" s="949" t="s">
        <v>501</v>
      </c>
      <c r="B4" s="949"/>
      <c r="C4" s="949"/>
      <c r="D4" s="949"/>
      <c r="E4" s="949"/>
      <c r="F4" s="949"/>
      <c r="G4" s="949"/>
      <c r="H4" s="949"/>
      <c r="I4" s="949"/>
    </row>
    <row r="5" spans="1:9" s="21" customFormat="1" ht="15">
      <c r="A5" s="634"/>
      <c r="B5" s="635"/>
      <c r="C5" s="635"/>
      <c r="D5" s="635"/>
      <c r="E5" s="635"/>
      <c r="F5" s="337"/>
      <c r="G5" s="337"/>
      <c r="H5" s="337"/>
      <c r="I5" s="337"/>
    </row>
    <row r="6" spans="1:7" ht="14.25">
      <c r="A6" s="22"/>
      <c r="B6" s="342"/>
      <c r="C6" s="342"/>
      <c r="F6" s="342"/>
      <c r="G6" s="342"/>
    </row>
    <row r="7" spans="2:9" ht="15">
      <c r="B7" s="636" t="s">
        <v>70</v>
      </c>
      <c r="C7" s="636"/>
      <c r="D7" s="636" t="s">
        <v>369</v>
      </c>
      <c r="E7" s="636"/>
      <c r="F7" s="636" t="s">
        <v>70</v>
      </c>
      <c r="G7" s="636"/>
      <c r="H7" s="636" t="s">
        <v>369</v>
      </c>
      <c r="I7" s="636"/>
    </row>
    <row r="8" spans="1:9" ht="15">
      <c r="A8" s="637"/>
      <c r="B8" s="508" t="s">
        <v>71</v>
      </c>
      <c r="C8" s="508"/>
      <c r="D8" s="508" t="s">
        <v>485</v>
      </c>
      <c r="E8" s="508"/>
      <c r="F8" s="508" t="s">
        <v>72</v>
      </c>
      <c r="G8" s="508"/>
      <c r="H8" s="508" t="s">
        <v>486</v>
      </c>
      <c r="I8" s="508"/>
    </row>
    <row r="9" spans="2:9" ht="15">
      <c r="B9" s="638"/>
      <c r="C9" s="639"/>
      <c r="D9" s="638"/>
      <c r="E9" s="640"/>
      <c r="F9" s="638"/>
      <c r="G9" s="640"/>
      <c r="H9" s="638"/>
      <c r="I9" s="640"/>
    </row>
    <row r="10" spans="1:9" ht="15">
      <c r="A10" s="637" t="s">
        <v>118</v>
      </c>
      <c r="B10" s="638"/>
      <c r="C10" s="640"/>
      <c r="D10" s="638"/>
      <c r="E10" s="640"/>
      <c r="F10" s="638"/>
      <c r="G10" s="640"/>
      <c r="H10" s="638"/>
      <c r="I10" s="640"/>
    </row>
    <row r="11" spans="1:9" ht="15">
      <c r="A11" s="637"/>
      <c r="B11" s="638"/>
      <c r="C11" s="640"/>
      <c r="D11" s="638"/>
      <c r="E11" s="640"/>
      <c r="F11" s="638"/>
      <c r="G11" s="640"/>
      <c r="H11" s="638"/>
      <c r="I11" s="640"/>
    </row>
    <row r="12" spans="1:9" ht="15">
      <c r="A12" s="18" t="s">
        <v>119</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120</v>
      </c>
      <c r="C14" s="489"/>
      <c r="E14" s="489"/>
      <c r="G14" s="489"/>
      <c r="I14" s="489"/>
    </row>
    <row r="15" spans="1:9" ht="14.25">
      <c r="A15" s="18" t="s">
        <v>121</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122</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123</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124</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449</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125</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229</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126</v>
      </c>
      <c r="C24" s="489"/>
      <c r="E24" s="489"/>
      <c r="G24" s="489"/>
      <c r="I24" s="489"/>
    </row>
    <row r="25" spans="1:9" ht="14.25">
      <c r="A25" s="18" t="s">
        <v>127</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230</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114</v>
      </c>
      <c r="C29" s="489"/>
      <c r="E29" s="489"/>
      <c r="G29" s="489"/>
      <c r="I29" s="489"/>
    </row>
    <row r="30" spans="1:9" ht="14.25">
      <c r="A30" s="18" t="s">
        <v>128</v>
      </c>
      <c r="C30" s="489">
        <f>'[9]Balance Sheet-p1'!$E$45</f>
        <v>-11338276.419999996</v>
      </c>
      <c r="E30" s="489">
        <f>'[9]Income Statement-p2'!$E$30</f>
        <v>-9552178.5</v>
      </c>
      <c r="G30" s="489">
        <f>+'[7]Income Statement (pg 2)'!$C$30</f>
        <v>-7427828.95</v>
      </c>
      <c r="I30" s="489">
        <v>-5217179.38</v>
      </c>
    </row>
    <row r="31" spans="1:9" ht="14.25">
      <c r="A31" s="18" t="s">
        <v>231</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129</v>
      </c>
      <c r="B32" s="145">
        <v>15024.93</v>
      </c>
      <c r="D32" s="127">
        <v>32458.12</v>
      </c>
      <c r="E32" s="489"/>
      <c r="F32" s="491">
        <f>+'[7]Income Statement (pg 2)'!$B$32</f>
        <v>16655</v>
      </c>
      <c r="G32" s="489"/>
      <c r="H32" s="127">
        <f>+'[7]Income Statement (pg 2)'!$D$32</f>
        <v>-287408.34</v>
      </c>
      <c r="I32" s="489"/>
    </row>
    <row r="33" spans="1:9" ht="14.25">
      <c r="A33" s="18" t="s">
        <v>421</v>
      </c>
      <c r="B33" s="127">
        <v>0</v>
      </c>
      <c r="D33" s="127">
        <f>-40790-4979.98-26-1710</f>
        <v>-47505.979999999996</v>
      </c>
      <c r="E33" s="489"/>
      <c r="F33" s="127">
        <v>0</v>
      </c>
      <c r="H33" s="492">
        <f>+'[7]Income Statement (pg 2)'!$D$33</f>
        <v>-25.57</v>
      </c>
      <c r="I33" s="489"/>
    </row>
    <row r="34" spans="1:9" ht="14.25">
      <c r="A34" s="18" t="s">
        <v>422</v>
      </c>
      <c r="B34" s="145">
        <v>0</v>
      </c>
      <c r="C34" s="489"/>
      <c r="D34" s="145">
        <v>0</v>
      </c>
      <c r="E34" s="489"/>
      <c r="F34" s="145" t="e">
        <f>+'[10]TB09-30-02(Final)'!I931</f>
        <v>#REF!</v>
      </c>
      <c r="G34" s="489"/>
      <c r="H34" s="145">
        <f>+'[7]Income Statement (pg 2)'!$D$34</f>
        <v>335155</v>
      </c>
      <c r="I34" s="489"/>
    </row>
    <row r="35" spans="1:9" ht="14.25">
      <c r="A35" s="18" t="s">
        <v>130</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73</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9"/>
  <sheetViews>
    <sheetView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4" t="s">
        <v>98</v>
      </c>
      <c r="B1" s="984"/>
      <c r="C1" s="984"/>
      <c r="D1" s="984"/>
      <c r="E1" s="984"/>
      <c r="F1" s="984"/>
      <c r="G1" s="984"/>
    </row>
    <row r="2" spans="1:7" s="27" customFormat="1" ht="15" customHeight="1">
      <c r="A2" s="985"/>
      <c r="B2" s="985"/>
      <c r="C2" s="985"/>
      <c r="D2" s="985"/>
      <c r="E2" s="985"/>
      <c r="F2" s="985"/>
      <c r="G2" s="985"/>
    </row>
    <row r="3" spans="1:7" s="773" customFormat="1" ht="15" customHeight="1">
      <c r="A3" s="986" t="s">
        <v>131</v>
      </c>
      <c r="B3" s="986"/>
      <c r="C3" s="986"/>
      <c r="D3" s="986"/>
      <c r="E3" s="986"/>
      <c r="F3" s="986"/>
      <c r="G3" s="986"/>
    </row>
    <row r="4" spans="1:7" s="773" customFormat="1" ht="15" customHeight="1">
      <c r="A4" s="986" t="s">
        <v>278</v>
      </c>
      <c r="B4" s="986"/>
      <c r="C4" s="986"/>
      <c r="D4" s="986"/>
      <c r="E4" s="986"/>
      <c r="F4" s="986"/>
      <c r="G4" s="986"/>
    </row>
    <row r="5" spans="1:7" s="29" customFormat="1" ht="15" customHeight="1">
      <c r="A5" s="381"/>
      <c r="B5" s="797"/>
      <c r="C5" s="797"/>
      <c r="D5" s="798"/>
      <c r="E5" s="799"/>
      <c r="F5" s="799"/>
      <c r="G5" s="800"/>
    </row>
    <row r="6" spans="1:7" s="776" customFormat="1" ht="30" customHeight="1">
      <c r="A6" s="821"/>
      <c r="B6" s="904" t="s">
        <v>337</v>
      </c>
      <c r="C6" s="904" t="s">
        <v>331</v>
      </c>
      <c r="D6" s="904" t="s">
        <v>351</v>
      </c>
      <c r="E6" s="904" t="s">
        <v>330</v>
      </c>
      <c r="F6" s="905" t="s">
        <v>338</v>
      </c>
      <c r="G6" s="885" t="s">
        <v>99</v>
      </c>
    </row>
    <row r="7" spans="1:7" s="777" customFormat="1" ht="15" customHeight="1">
      <c r="A7" s="822" t="s">
        <v>133</v>
      </c>
      <c r="B7" s="823"/>
      <c r="C7" s="823"/>
      <c r="D7" s="824"/>
      <c r="E7" s="824"/>
      <c r="F7" s="824"/>
      <c r="G7" s="824"/>
    </row>
    <row r="8" spans="1:7" s="775" customFormat="1" ht="15" customHeight="1">
      <c r="A8" s="825" t="s">
        <v>134</v>
      </c>
      <c r="B8" s="925">
        <f>'Premiums YTD-8'!B12</f>
        <v>11332879</v>
      </c>
      <c r="C8" s="925">
        <f>'Premiums YTD-8'!C12</f>
        <v>-28248</v>
      </c>
      <c r="D8" s="925">
        <f>'Premiums YTD-8'!D12</f>
        <v>-9293</v>
      </c>
      <c r="E8" s="827">
        <f>'Premiums YTD-8'!E12</f>
        <v>0</v>
      </c>
      <c r="F8" s="827">
        <f>'Premiums YTD-8'!F12</f>
        <v>0</v>
      </c>
      <c r="G8" s="826">
        <f>SUM(B8:F8)</f>
        <v>11295338</v>
      </c>
    </row>
    <row r="9" spans="1:7" s="775" customFormat="1" ht="15" customHeight="1">
      <c r="A9" s="825" t="s">
        <v>135</v>
      </c>
      <c r="B9" s="827">
        <f>'Earned Incurred YTD-6'!C48</f>
        <v>364498.71</v>
      </c>
      <c r="C9" s="827">
        <v>0</v>
      </c>
      <c r="D9" s="827">
        <v>0</v>
      </c>
      <c r="E9" s="827">
        <v>0</v>
      </c>
      <c r="F9" s="827">
        <v>0</v>
      </c>
      <c r="G9" s="827">
        <f>SUM(B9:F9)</f>
        <v>364498.71</v>
      </c>
    </row>
    <row r="10" spans="1:7" s="775" customFormat="1" ht="15" customHeight="1" thickBot="1">
      <c r="A10" s="828" t="s">
        <v>136</v>
      </c>
      <c r="B10" s="926">
        <f aca="true" t="shared" si="0" ref="B10:G10">SUM(B8:B9)</f>
        <v>11697377.71</v>
      </c>
      <c r="C10" s="926">
        <f t="shared" si="0"/>
        <v>-28248</v>
      </c>
      <c r="D10" s="926">
        <f t="shared" si="0"/>
        <v>-9293</v>
      </c>
      <c r="E10" s="829">
        <f t="shared" si="0"/>
        <v>0</v>
      </c>
      <c r="F10" s="829">
        <f t="shared" si="0"/>
        <v>0</v>
      </c>
      <c r="G10" s="830">
        <f t="shared" si="0"/>
        <v>11659836.71</v>
      </c>
    </row>
    <row r="11" spans="1:7" s="775" customFormat="1" ht="15" customHeight="1" thickTop="1">
      <c r="A11" s="828"/>
      <c r="B11" s="831"/>
      <c r="C11" s="831"/>
      <c r="D11" s="831"/>
      <c r="E11" s="827"/>
      <c r="F11" s="827"/>
      <c r="G11" s="827"/>
    </row>
    <row r="12" spans="1:7" s="775" customFormat="1" ht="15" customHeight="1">
      <c r="A12" s="822" t="s">
        <v>137</v>
      </c>
      <c r="B12" s="824"/>
      <c r="C12" s="824"/>
      <c r="D12" s="824"/>
      <c r="E12" s="832"/>
      <c r="F12" s="832"/>
      <c r="G12" s="827"/>
    </row>
    <row r="13" spans="1:7" s="775" customFormat="1" ht="15" customHeight="1">
      <c r="A13" s="828" t="s">
        <v>138</v>
      </c>
      <c r="B13" s="927">
        <f>'Losses Incurred YTD-10'!B12</f>
        <v>891804</v>
      </c>
      <c r="C13" s="927">
        <f>'Losses Incurred YTD-10'!C12</f>
        <v>5655423</v>
      </c>
      <c r="D13" s="927">
        <f>'Losses Incurred YTD-10'!D12</f>
        <v>307820</v>
      </c>
      <c r="E13" s="927">
        <f>'Losses Incurred YTD-10'!E12</f>
        <v>-14678</v>
      </c>
      <c r="F13" s="927">
        <f>'Losses Incurred YTD-10'!F12</f>
        <v>59953</v>
      </c>
      <c r="G13" s="827">
        <f>SUM(B13:F13)</f>
        <v>6900322</v>
      </c>
    </row>
    <row r="14" spans="1:7" s="775" customFormat="1" ht="15" customHeight="1">
      <c r="A14" s="828" t="s">
        <v>139</v>
      </c>
      <c r="B14" s="927">
        <f>'[12]Loss Expenses Paid YTD-16'!C36</f>
        <v>75278</v>
      </c>
      <c r="C14" s="927">
        <f>'[12]Loss Expenses Paid YTD-16'!C30</f>
        <v>383427</v>
      </c>
      <c r="D14" s="927">
        <f>'[12]Loss Expenses Paid YTD-16'!C24</f>
        <v>63759</v>
      </c>
      <c r="E14" s="927">
        <f>'[12]Loss Expenses Paid YTD-16'!C18</f>
        <v>27352</v>
      </c>
      <c r="F14" s="927">
        <f>'[12]Loss Expenses Paid YTD-16'!C12</f>
        <v>20224</v>
      </c>
      <c r="G14" s="827">
        <f aca="true" t="shared" si="1" ref="G14:G20">SUM(B14:F14)</f>
        <v>570040</v>
      </c>
    </row>
    <row r="15" spans="1:8" s="775" customFormat="1" ht="15" customHeight="1">
      <c r="A15" s="828" t="s">
        <v>140</v>
      </c>
      <c r="B15" s="927">
        <f>'[12]Loss Expenses Paid YTD-16'!I36</f>
        <v>56828</v>
      </c>
      <c r="C15" s="927">
        <f>'[12]Loss Expenses Paid YTD-16'!I30</f>
        <v>402246</v>
      </c>
      <c r="D15" s="927">
        <f>'[12]Loss Expenses Paid YTD-16'!I24</f>
        <v>40990</v>
      </c>
      <c r="E15" s="927">
        <f>'[12]Loss Expenses Paid YTD-16'!I18</f>
        <v>152</v>
      </c>
      <c r="F15" s="927">
        <f>'[12]Loss Expenses Paid YTD-16'!I12</f>
        <v>6006</v>
      </c>
      <c r="G15" s="827">
        <f>SUM(B15:F15)</f>
        <v>506222</v>
      </c>
      <c r="H15" s="779"/>
    </row>
    <row r="16" spans="1:7" s="775" customFormat="1" ht="15" customHeight="1">
      <c r="A16" s="828" t="s">
        <v>141</v>
      </c>
      <c r="B16" s="827">
        <f>'[11]3Q08 Trial Balance'!F430</f>
        <v>33861</v>
      </c>
      <c r="C16" s="827">
        <v>0</v>
      </c>
      <c r="D16" s="827">
        <v>0</v>
      </c>
      <c r="E16" s="827">
        <v>0</v>
      </c>
      <c r="F16" s="827">
        <v>0</v>
      </c>
      <c r="G16" s="827">
        <f t="shared" si="1"/>
        <v>33861</v>
      </c>
    </row>
    <row r="17" spans="1:8" s="775" customFormat="1" ht="15" customHeight="1">
      <c r="A17" s="833" t="s">
        <v>142</v>
      </c>
      <c r="B17" s="827">
        <f>'[11]3Q08 Trial Balance'!F436</f>
        <v>93199</v>
      </c>
      <c r="C17" s="827">
        <v>0</v>
      </c>
      <c r="D17" s="827">
        <v>0</v>
      </c>
      <c r="E17" s="827">
        <v>0</v>
      </c>
      <c r="F17" s="827">
        <v>0</v>
      </c>
      <c r="G17" s="827">
        <f t="shared" si="1"/>
        <v>93199</v>
      </c>
      <c r="H17" s="779"/>
    </row>
    <row r="18" spans="1:8" s="775" customFormat="1" ht="15" customHeight="1">
      <c r="A18" s="828" t="s">
        <v>144</v>
      </c>
      <c r="B18" s="827">
        <f>'[11]3Q08 Trial Balance'!F432</f>
        <v>10725</v>
      </c>
      <c r="C18" s="827">
        <v>0</v>
      </c>
      <c r="D18" s="827">
        <v>0</v>
      </c>
      <c r="E18" s="827">
        <v>0</v>
      </c>
      <c r="F18" s="827">
        <v>0</v>
      </c>
      <c r="G18" s="827">
        <f t="shared" si="1"/>
        <v>10725</v>
      </c>
      <c r="H18" s="779"/>
    </row>
    <row r="19" spans="1:7" s="775" customFormat="1" ht="15" customHeight="1">
      <c r="A19" s="833" t="s">
        <v>143</v>
      </c>
      <c r="B19" s="827">
        <f>'[11]3Q08 Trial Balance'!F425</f>
        <v>1007734</v>
      </c>
      <c r="C19" s="927">
        <f>'[11]3Q08 Trial Balance'!F421</f>
        <v>-4077</v>
      </c>
      <c r="D19" s="927">
        <f>'[11]3Q08 Trial Balance'!F417</f>
        <v>-866</v>
      </c>
      <c r="E19" s="827">
        <v>0</v>
      </c>
      <c r="F19" s="827">
        <v>0</v>
      </c>
      <c r="G19" s="827">
        <f t="shared" si="1"/>
        <v>1002791</v>
      </c>
    </row>
    <row r="20" spans="1:8" s="775" customFormat="1" ht="15" customHeight="1">
      <c r="A20" s="828" t="s">
        <v>145</v>
      </c>
      <c r="B20" s="827">
        <f>'Earned Incurred YTD-6'!C39</f>
        <v>3223209.54</v>
      </c>
      <c r="C20" s="827">
        <v>0</v>
      </c>
      <c r="D20" s="827">
        <v>0</v>
      </c>
      <c r="E20" s="827">
        <v>0</v>
      </c>
      <c r="F20" s="827">
        <v>0</v>
      </c>
      <c r="G20" s="827">
        <f t="shared" si="1"/>
        <v>3223209.54</v>
      </c>
      <c r="H20" s="779"/>
    </row>
    <row r="21" spans="1:8" s="775" customFormat="1" ht="15" customHeight="1">
      <c r="A21" s="828" t="s">
        <v>447</v>
      </c>
      <c r="B21" s="827">
        <f>22678.73+18366.4+10950</f>
        <v>51995.130000000005</v>
      </c>
      <c r="C21" s="827">
        <f>10950-7016.66</f>
        <v>3933.34</v>
      </c>
      <c r="D21" s="827">
        <v>0</v>
      </c>
      <c r="E21" s="827">
        <v>0</v>
      </c>
      <c r="F21" s="827">
        <v>0</v>
      </c>
      <c r="G21" s="827">
        <f>SUM(B21:F21)</f>
        <v>55928.47</v>
      </c>
      <c r="H21" s="779"/>
    </row>
    <row r="22" spans="1:8" s="775" customFormat="1" ht="15" customHeight="1" thickBot="1">
      <c r="A22" s="828" t="s">
        <v>136</v>
      </c>
      <c r="B22" s="926">
        <f aca="true" t="shared" si="2" ref="B22:G22">SUM(B13:B21)</f>
        <v>5444633.67</v>
      </c>
      <c r="C22" s="926">
        <f t="shared" si="2"/>
        <v>6440952.34</v>
      </c>
      <c r="D22" s="926">
        <f t="shared" si="2"/>
        <v>411703</v>
      </c>
      <c r="E22" s="926">
        <f t="shared" si="2"/>
        <v>12826</v>
      </c>
      <c r="F22" s="926">
        <f t="shared" si="2"/>
        <v>86183</v>
      </c>
      <c r="G22" s="830">
        <f t="shared" si="2"/>
        <v>12396298.01</v>
      </c>
      <c r="H22" s="778"/>
    </row>
    <row r="23" spans="1:7" s="775" customFormat="1" ht="15" customHeight="1" thickTop="1">
      <c r="A23" s="828"/>
      <c r="B23" s="831"/>
      <c r="C23" s="831"/>
      <c r="D23" s="831"/>
      <c r="E23" s="827"/>
      <c r="F23" s="827"/>
      <c r="G23" s="827"/>
    </row>
    <row r="24" spans="1:7" s="775" customFormat="1" ht="15" customHeight="1" thickBot="1">
      <c r="A24" s="834" t="s">
        <v>146</v>
      </c>
      <c r="B24" s="928">
        <f>B10-B22</f>
        <v>6252744.040000001</v>
      </c>
      <c r="C24" s="928">
        <f>C10-C22</f>
        <v>-6469200.34</v>
      </c>
      <c r="D24" s="928">
        <f>D10-D22</f>
        <v>-420996</v>
      </c>
      <c r="E24" s="928">
        <f>E10-E22</f>
        <v>-12826</v>
      </c>
      <c r="F24" s="928">
        <f>F10-F22</f>
        <v>-86183</v>
      </c>
      <c r="G24" s="930">
        <f>SUM(B24:F24)</f>
        <v>-736461.2999999989</v>
      </c>
    </row>
    <row r="25" spans="1:7" s="775" customFormat="1" ht="15" customHeight="1" thickTop="1">
      <c r="A25" s="828"/>
      <c r="B25" s="831"/>
      <c r="C25" s="831"/>
      <c r="D25" s="831"/>
      <c r="E25" s="827"/>
      <c r="F25" s="827"/>
      <c r="G25" s="827"/>
    </row>
    <row r="26" spans="1:7" s="775" customFormat="1" ht="15" customHeight="1">
      <c r="A26" s="822" t="s">
        <v>147</v>
      </c>
      <c r="B26" s="824"/>
      <c r="C26" s="824"/>
      <c r="D26" s="824"/>
      <c r="E26" s="832"/>
      <c r="F26" s="832"/>
      <c r="G26" s="827"/>
    </row>
    <row r="27" spans="1:7" s="775" customFormat="1" ht="15" customHeight="1">
      <c r="A27" s="828" t="s">
        <v>148</v>
      </c>
      <c r="B27" s="827">
        <v>0</v>
      </c>
      <c r="C27" s="827">
        <f>'Earned Incurred YTD-6'!B50</f>
        <v>94328.71</v>
      </c>
      <c r="D27" s="827">
        <v>0</v>
      </c>
      <c r="E27" s="827">
        <v>0</v>
      </c>
      <c r="F27" s="827">
        <v>0</v>
      </c>
      <c r="G27" s="827">
        <f>SUM(B27:F27)</f>
        <v>94328.71</v>
      </c>
    </row>
    <row r="28" spans="1:8" s="775" customFormat="1" ht="15" customHeight="1">
      <c r="A28" s="828" t="s">
        <v>149</v>
      </c>
      <c r="B28" s="827">
        <f>'Balance Sheet-1'!D14</f>
        <v>778840.57</v>
      </c>
      <c r="C28" s="827">
        <v>0</v>
      </c>
      <c r="D28" s="827">
        <v>0</v>
      </c>
      <c r="E28" s="827">
        <v>0</v>
      </c>
      <c r="F28" s="827">
        <v>0</v>
      </c>
      <c r="G28" s="827">
        <f>SUM(B28:F28)</f>
        <v>778840.57</v>
      </c>
      <c r="H28" s="779"/>
    </row>
    <row r="29" spans="1:9" s="775" customFormat="1" ht="15" customHeight="1">
      <c r="A29" s="933" t="s">
        <v>348</v>
      </c>
      <c r="B29" s="827">
        <v>1243616</v>
      </c>
      <c r="C29" s="827">
        <v>0</v>
      </c>
      <c r="D29" s="827">
        <v>0</v>
      </c>
      <c r="E29" s="827">
        <v>0</v>
      </c>
      <c r="F29" s="827">
        <v>0</v>
      </c>
      <c r="G29" s="827">
        <f>SUM(B29:F29)</f>
        <v>1243616</v>
      </c>
      <c r="H29" s="779"/>
      <c r="I29" s="934"/>
    </row>
    <row r="30" spans="1:7" s="775" customFormat="1" ht="15" customHeight="1" thickBot="1">
      <c r="A30" s="828" t="s">
        <v>136</v>
      </c>
      <c r="B30" s="829">
        <f>SUM(B27:B29)</f>
        <v>2022456.5699999998</v>
      </c>
      <c r="C30" s="829">
        <f>SUM(C27:C29)</f>
        <v>94328.71</v>
      </c>
      <c r="D30" s="829">
        <f>SUM(D27:D29)</f>
        <v>0</v>
      </c>
      <c r="E30" s="829">
        <f>SUM(E27:E29)</f>
        <v>0</v>
      </c>
      <c r="F30" s="829">
        <f>SUM(F27:F29)</f>
        <v>0</v>
      </c>
      <c r="G30" s="830">
        <f>SUM(G27:G29)+1</f>
        <v>2116786.28</v>
      </c>
    </row>
    <row r="31" spans="1:7" s="775" customFormat="1" ht="15" customHeight="1" thickTop="1">
      <c r="A31" s="828"/>
      <c r="B31" s="831"/>
      <c r="C31" s="831"/>
      <c r="D31" s="831"/>
      <c r="E31" s="827"/>
      <c r="F31" s="827"/>
      <c r="G31" s="827"/>
    </row>
    <row r="32" spans="1:7" s="775" customFormat="1" ht="15" customHeight="1">
      <c r="A32" s="822" t="s">
        <v>150</v>
      </c>
      <c r="B32" s="824"/>
      <c r="C32" s="824"/>
      <c r="D32" s="827"/>
      <c r="E32" s="827"/>
      <c r="F32" s="827"/>
      <c r="G32" s="827"/>
    </row>
    <row r="33" spans="1:7" s="775" customFormat="1" ht="15" customHeight="1">
      <c r="A33" s="828" t="s">
        <v>151</v>
      </c>
      <c r="B33" s="827">
        <f>'Earned Incurred YTD-6'!B49</f>
        <v>113840</v>
      </c>
      <c r="C33" s="827">
        <v>0</v>
      </c>
      <c r="D33" s="827">
        <v>0</v>
      </c>
      <c r="E33" s="827">
        <v>0</v>
      </c>
      <c r="F33" s="827">
        <v>0</v>
      </c>
      <c r="G33" s="827">
        <f>SUM(B33:F33)</f>
        <v>113840</v>
      </c>
    </row>
    <row r="34" spans="1:9" s="775" customFormat="1" ht="15" customHeight="1">
      <c r="A34" s="828" t="s">
        <v>152</v>
      </c>
      <c r="B34" s="827">
        <v>0</v>
      </c>
      <c r="C34" s="827">
        <v>970731</v>
      </c>
      <c r="D34" s="827">
        <v>0</v>
      </c>
      <c r="E34" s="827">
        <v>0</v>
      </c>
      <c r="F34" s="827">
        <v>0</v>
      </c>
      <c r="G34" s="827">
        <f>SUM(B34:F34)</f>
        <v>970731</v>
      </c>
      <c r="H34" s="779"/>
      <c r="I34" s="779"/>
    </row>
    <row r="35" spans="1:8" s="775" customFormat="1" ht="15" customHeight="1" thickBot="1">
      <c r="A35" s="828" t="s">
        <v>136</v>
      </c>
      <c r="B35" s="829">
        <f aca="true" t="shared" si="3" ref="B35:G35">SUM(B33:B34)</f>
        <v>113840</v>
      </c>
      <c r="C35" s="829">
        <f t="shared" si="3"/>
        <v>970731</v>
      </c>
      <c r="D35" s="829">
        <f t="shared" si="3"/>
        <v>0</v>
      </c>
      <c r="E35" s="829">
        <f t="shared" si="3"/>
        <v>0</v>
      </c>
      <c r="F35" s="829">
        <f t="shared" si="3"/>
        <v>0</v>
      </c>
      <c r="G35" s="830">
        <f t="shared" si="3"/>
        <v>1084571</v>
      </c>
      <c r="H35" s="779"/>
    </row>
    <row r="36" spans="1:7" s="775" customFormat="1" ht="15" customHeight="1" thickTop="1">
      <c r="A36" s="828"/>
      <c r="B36" s="831"/>
      <c r="C36" s="831"/>
      <c r="D36" s="831"/>
      <c r="E36" s="827"/>
      <c r="F36" s="827"/>
      <c r="G36" s="835"/>
    </row>
    <row r="37" spans="1:7" s="775" customFormat="1" ht="15" customHeight="1" thickBot="1">
      <c r="A37" s="822" t="s">
        <v>153</v>
      </c>
      <c r="B37" s="928">
        <f>B24-B30+B35</f>
        <v>4344127.470000001</v>
      </c>
      <c r="C37" s="928">
        <f>C24-C30+C35</f>
        <v>-5592798.05</v>
      </c>
      <c r="D37" s="928">
        <f>D24-D30+D35</f>
        <v>-420996</v>
      </c>
      <c r="E37" s="928">
        <f>E24-E30+E35</f>
        <v>-12826</v>
      </c>
      <c r="F37" s="928">
        <f>F24-F30+F35</f>
        <v>-86183</v>
      </c>
      <c r="G37" s="930">
        <f>SUM(B37:F37)</f>
        <v>-1768675.5799999991</v>
      </c>
    </row>
    <row r="38" spans="1:7" s="775" customFormat="1" ht="15" customHeight="1" thickTop="1">
      <c r="A38" s="828"/>
      <c r="B38" s="831"/>
      <c r="C38" s="831"/>
      <c r="D38" s="831"/>
      <c r="E38" s="827"/>
      <c r="F38" s="827"/>
      <c r="G38" s="827"/>
    </row>
    <row r="39" spans="1:7" s="775" customFormat="1" ht="15" customHeight="1">
      <c r="A39" s="836" t="s">
        <v>451</v>
      </c>
      <c r="B39" s="837"/>
      <c r="C39" s="837"/>
      <c r="D39" s="837"/>
      <c r="E39" s="827"/>
      <c r="F39" s="827"/>
      <c r="G39" s="827"/>
    </row>
    <row r="40" spans="1:7" s="775" customFormat="1" ht="15" customHeight="1">
      <c r="A40" s="828" t="s">
        <v>111</v>
      </c>
      <c r="B40" s="827">
        <f>'Premiums YTD-8'!B18</f>
        <v>7050684</v>
      </c>
      <c r="C40" s="827">
        <f>'Premiums YTD-8'!C18</f>
        <v>476694</v>
      </c>
      <c r="D40" s="827">
        <f>'Premiums YTD-8'!D18</f>
        <v>0</v>
      </c>
      <c r="E40" s="827">
        <f>'Premiums YTD-8'!E18</f>
        <v>0</v>
      </c>
      <c r="F40" s="827">
        <f>'Premiums YTD-8'!F18</f>
        <v>0</v>
      </c>
      <c r="G40" s="827">
        <f>SUM(B40:F40)</f>
        <v>7527378</v>
      </c>
    </row>
    <row r="41" spans="1:7" s="775" customFormat="1" ht="15" customHeight="1">
      <c r="A41" s="828" t="s">
        <v>154</v>
      </c>
      <c r="B41" s="827">
        <f>'Losses Incurred YTD-10'!B18+'Losses Incurred YTD-10'!B24</f>
        <v>1635956</v>
      </c>
      <c r="C41" s="827">
        <f>'Losses Incurred YTD-10'!C18+'Losses Incurred YTD-10'!C24</f>
        <v>1601558</v>
      </c>
      <c r="D41" s="827">
        <f>'Losses Incurred YTD-10'!D18+'Losses Incurred YTD-10'!D24</f>
        <v>114747</v>
      </c>
      <c r="E41" s="827">
        <f>'Losses Incurred YTD-10'!E18+'Losses Incurred YTD-10'!E24</f>
        <v>56306</v>
      </c>
      <c r="F41" s="827">
        <f>'Losses Incurred YTD-10'!F18+'Losses Incurred YTD-10'!F24</f>
        <v>69981</v>
      </c>
      <c r="G41" s="827">
        <f>SUM(B41:F41)</f>
        <v>3478548</v>
      </c>
    </row>
    <row r="42" spans="1:7" s="775" customFormat="1" ht="15" customHeight="1">
      <c r="A42" s="828" t="s">
        <v>155</v>
      </c>
      <c r="B42" s="827">
        <f>'Loss Expenses YTD-12'!B18</f>
        <v>162710</v>
      </c>
      <c r="C42" s="827">
        <f>'Loss Expenses YTD-12'!C18</f>
        <v>190070</v>
      </c>
      <c r="D42" s="827">
        <f>'Loss Expenses YTD-12'!D18</f>
        <v>41490</v>
      </c>
      <c r="E42" s="827">
        <f>'Loss Expenses YTD-12'!E18</f>
        <v>12126</v>
      </c>
      <c r="F42" s="827">
        <f>'Loss Expenses YTD-12'!F18</f>
        <v>6596</v>
      </c>
      <c r="G42" s="827">
        <f>SUM(B42:F42)</f>
        <v>412992</v>
      </c>
    </row>
    <row r="43" spans="1:7" s="775" customFormat="1" ht="15" customHeight="1">
      <c r="A43" s="828" t="s">
        <v>156</v>
      </c>
      <c r="B43" s="827">
        <f>'Earned Incurred YTD-6'!B41</f>
        <v>210561</v>
      </c>
      <c r="C43" s="827">
        <v>0</v>
      </c>
      <c r="D43" s="827">
        <v>0</v>
      </c>
      <c r="E43" s="827">
        <v>0</v>
      </c>
      <c r="F43" s="827">
        <v>0</v>
      </c>
      <c r="G43" s="827">
        <f>SUM(B43:F43)</f>
        <v>210561</v>
      </c>
    </row>
    <row r="44" spans="1:7" s="775" customFormat="1" ht="15" customHeight="1">
      <c r="A44" s="828" t="s">
        <v>157</v>
      </c>
      <c r="B44" s="827">
        <f>'Earned Incurred YTD-6'!B33</f>
        <v>25740</v>
      </c>
      <c r="C44" s="827">
        <v>0</v>
      </c>
      <c r="D44" s="827">
        <v>0</v>
      </c>
      <c r="E44" s="827">
        <v>0</v>
      </c>
      <c r="F44" s="827">
        <v>0</v>
      </c>
      <c r="G44" s="827">
        <f>SUM(B44:F44)</f>
        <v>25740</v>
      </c>
    </row>
    <row r="45" spans="1:7" s="775" customFormat="1" ht="15" customHeight="1" thickBot="1">
      <c r="A45" s="838" t="s">
        <v>136</v>
      </c>
      <c r="B45" s="829">
        <f aca="true" t="shared" si="4" ref="B45:G45">SUM(B40:B44)</f>
        <v>9085651</v>
      </c>
      <c r="C45" s="829">
        <f t="shared" si="4"/>
        <v>2268322</v>
      </c>
      <c r="D45" s="829">
        <f t="shared" si="4"/>
        <v>156237</v>
      </c>
      <c r="E45" s="829">
        <f t="shared" si="4"/>
        <v>68432</v>
      </c>
      <c r="F45" s="829">
        <f t="shared" si="4"/>
        <v>76577</v>
      </c>
      <c r="G45" s="830">
        <f t="shared" si="4"/>
        <v>11655219</v>
      </c>
    </row>
    <row r="46" spans="1:7" s="775" customFormat="1" ht="15" customHeight="1" thickTop="1">
      <c r="A46" s="828"/>
      <c r="B46" s="831"/>
      <c r="C46" s="831"/>
      <c r="D46" s="831"/>
      <c r="E46" s="827"/>
      <c r="F46" s="827"/>
      <c r="G46" s="827"/>
    </row>
    <row r="47" spans="1:7" s="775" customFormat="1" ht="15" customHeight="1">
      <c r="A47" s="836" t="s">
        <v>452</v>
      </c>
      <c r="B47" s="837"/>
      <c r="C47" s="837"/>
      <c r="D47" s="837"/>
      <c r="E47" s="827"/>
      <c r="F47" s="827"/>
      <c r="G47" s="827"/>
    </row>
    <row r="48" spans="1:7" s="775" customFormat="1" ht="15" customHeight="1">
      <c r="A48" s="828" t="s">
        <v>111</v>
      </c>
      <c r="B48" s="827">
        <f>'Premiums YTD-8'!B24</f>
        <v>0</v>
      </c>
      <c r="C48" s="827">
        <f>'Premiums YTD-8'!C24</f>
        <v>8407132.85</v>
      </c>
      <c r="D48" s="827">
        <f>'Premiums YTD-8'!D24</f>
        <v>0</v>
      </c>
      <c r="E48" s="827">
        <f>'Premiums YTD-8'!E24</f>
        <v>0</v>
      </c>
      <c r="F48" s="827">
        <f>'Premiums YTD-8'!F24</f>
        <v>0</v>
      </c>
      <c r="G48" s="827">
        <f>SUM(B48:F48)</f>
        <v>8407132.85</v>
      </c>
    </row>
    <row r="49" spans="1:7" s="775" customFormat="1" ht="15" customHeight="1">
      <c r="A49" s="828" t="s">
        <v>154</v>
      </c>
      <c r="B49" s="827">
        <f>'Losses Incurred YTD-10'!B31</f>
        <v>0</v>
      </c>
      <c r="C49" s="827">
        <f>'Losses Incurred YTD-10'!C31</f>
        <v>2856832.11</v>
      </c>
      <c r="D49" s="827">
        <f>'Losses Incurred YTD-10'!D31</f>
        <v>883223.19</v>
      </c>
      <c r="E49" s="827">
        <f>'Losses Incurred YTD-10'!E31</f>
        <v>69896.36</v>
      </c>
      <c r="F49" s="827">
        <f>'Losses Incurred YTD-10'!F31</f>
        <v>155472</v>
      </c>
      <c r="G49" s="827">
        <f>SUM(B49:F49)-1</f>
        <v>3965422.6599999997</v>
      </c>
    </row>
    <row r="50" spans="1:7" s="775" customFormat="1" ht="15" customHeight="1">
      <c r="A50" s="828" t="s">
        <v>158</v>
      </c>
      <c r="B50" s="827">
        <f>'Loss Expenses YTD-12'!B24</f>
        <v>0</v>
      </c>
      <c r="C50" s="827">
        <f>'Loss Expenses YTD-12'!C24</f>
        <v>271824.89999999997</v>
      </c>
      <c r="D50" s="827">
        <f>'Loss Expenses YTD-12'!D24</f>
        <v>147947.80000000002</v>
      </c>
      <c r="E50" s="827">
        <f>'Loss Expenses YTD-12'!E24</f>
        <v>25967.070000000003</v>
      </c>
      <c r="F50" s="827">
        <f>'Loss Expenses YTD-12'!F24</f>
        <v>16901.4</v>
      </c>
      <c r="G50" s="827">
        <f>SUM(B50:F50)</f>
        <v>462641.17</v>
      </c>
    </row>
    <row r="51" spans="1:7" s="775" customFormat="1" ht="15" customHeight="1">
      <c r="A51" s="828" t="s">
        <v>156</v>
      </c>
      <c r="B51" s="827">
        <v>0</v>
      </c>
      <c r="C51" s="827">
        <f>'Earned Incurred YTD-6'!B42</f>
        <v>188315.54</v>
      </c>
      <c r="D51" s="827">
        <v>0</v>
      </c>
      <c r="E51" s="827">
        <v>0</v>
      </c>
      <c r="F51" s="827">
        <v>0</v>
      </c>
      <c r="G51" s="827">
        <f>SUM(B51:F51)</f>
        <v>188315.54</v>
      </c>
    </row>
    <row r="52" spans="1:7" s="775" customFormat="1" ht="15" customHeight="1">
      <c r="A52" s="828" t="s">
        <v>157</v>
      </c>
      <c r="B52" s="827">
        <v>0</v>
      </c>
      <c r="C52" s="827">
        <f>'Earned Incurred YTD-6'!B34</f>
        <v>42577.28</v>
      </c>
      <c r="D52" s="827">
        <v>0</v>
      </c>
      <c r="E52" s="827">
        <v>0</v>
      </c>
      <c r="F52" s="827">
        <v>0</v>
      </c>
      <c r="G52" s="827">
        <f>SUM(B52:F52)</f>
        <v>42577.28</v>
      </c>
    </row>
    <row r="53" spans="1:7" s="775" customFormat="1" ht="15" customHeight="1" thickBot="1">
      <c r="A53" s="828" t="s">
        <v>136</v>
      </c>
      <c r="B53" s="829">
        <f>SUM(B48:B52)</f>
        <v>0</v>
      </c>
      <c r="C53" s="829">
        <f>SUM(C48:C52)</f>
        <v>11766682.679999998</v>
      </c>
      <c r="D53" s="829">
        <f>SUM(D48:D52)</f>
        <v>1031170.99</v>
      </c>
      <c r="E53" s="829">
        <f>SUM(E48:E52)</f>
        <v>95863.43000000001</v>
      </c>
      <c r="F53" s="829">
        <f>SUM(F48:F52)</f>
        <v>172373.4</v>
      </c>
      <c r="G53" s="830">
        <f>SUM(B53:F53)-1</f>
        <v>13066089.499999998</v>
      </c>
    </row>
    <row r="54" spans="1:7" s="775" customFormat="1" ht="15" customHeight="1" thickTop="1">
      <c r="A54" s="828"/>
      <c r="B54" s="831"/>
      <c r="C54" s="831"/>
      <c r="D54" s="831"/>
      <c r="E54" s="831"/>
      <c r="F54" s="831"/>
      <c r="G54" s="485"/>
    </row>
    <row r="55" spans="1:8" s="775" customFormat="1" ht="15" customHeight="1" thickBot="1">
      <c r="A55" s="834" t="s">
        <v>159</v>
      </c>
      <c r="B55" s="929">
        <f aca="true" t="shared" si="5" ref="B55:G55">B37-B45+B53</f>
        <v>-4741523.529999999</v>
      </c>
      <c r="C55" s="929">
        <f t="shared" si="5"/>
        <v>3905562.629999998</v>
      </c>
      <c r="D55" s="929">
        <f t="shared" si="5"/>
        <v>453937.99</v>
      </c>
      <c r="E55" s="929">
        <f t="shared" si="5"/>
        <v>14605.430000000008</v>
      </c>
      <c r="F55" s="929">
        <f t="shared" si="5"/>
        <v>9613.399999999994</v>
      </c>
      <c r="G55" s="929">
        <f t="shared" si="5"/>
        <v>-357805.0800000001</v>
      </c>
      <c r="H55" s="779"/>
    </row>
    <row r="56" spans="1:8" s="775" customFormat="1" ht="15" customHeight="1" thickTop="1">
      <c r="A56" s="778"/>
      <c r="B56" s="779"/>
      <c r="C56" s="779"/>
      <c r="D56" s="801"/>
      <c r="E56" s="801"/>
      <c r="F56" s="801"/>
      <c r="G56" s="801"/>
      <c r="H56" s="779"/>
    </row>
    <row r="57" spans="1:9" s="775" customFormat="1" ht="15" customHeight="1">
      <c r="A57" s="778"/>
      <c r="B57" s="779"/>
      <c r="C57" s="779"/>
      <c r="D57" s="801"/>
      <c r="E57" s="801"/>
      <c r="F57" s="801"/>
      <c r="G57" s="801"/>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0" t="s">
        <v>98</v>
      </c>
      <c r="B1" s="991"/>
      <c r="C1" s="991"/>
      <c r="D1" s="992"/>
      <c r="E1" s="769"/>
    </row>
    <row r="2" spans="1:5" s="45" customFormat="1" ht="15" customHeight="1">
      <c r="A2" s="993"/>
      <c r="B2" s="994"/>
      <c r="C2" s="994"/>
      <c r="D2" s="995"/>
      <c r="E2" s="770"/>
    </row>
    <row r="3" spans="1:5" s="45" customFormat="1" ht="15" customHeight="1">
      <c r="A3" s="987" t="s">
        <v>61</v>
      </c>
      <c r="B3" s="988"/>
      <c r="C3" s="988"/>
      <c r="D3" s="989"/>
      <c r="E3" s="770"/>
    </row>
    <row r="4" spans="1:5" s="45" customFormat="1" ht="15" customHeight="1">
      <c r="A4" s="987" t="s">
        <v>160</v>
      </c>
      <c r="B4" s="988"/>
      <c r="C4" s="988"/>
      <c r="D4" s="989"/>
      <c r="E4" s="770"/>
    </row>
    <row r="5" spans="1:5" s="45" customFormat="1" ht="15" customHeight="1">
      <c r="A5" s="987" t="s">
        <v>282</v>
      </c>
      <c r="B5" s="988"/>
      <c r="C5" s="988"/>
      <c r="D5" s="989"/>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161</v>
      </c>
      <c r="B8" s="879" t="s">
        <v>291</v>
      </c>
      <c r="C8" s="880"/>
      <c r="D8" s="881"/>
      <c r="E8" s="127"/>
    </row>
    <row r="9" spans="1:5" s="18" customFormat="1" ht="15" customHeight="1">
      <c r="A9" s="407"/>
      <c r="B9" s="882" t="s">
        <v>51</v>
      </c>
      <c r="C9" s="883"/>
      <c r="D9" s="884"/>
      <c r="E9" s="127"/>
    </row>
    <row r="10" spans="1:5" s="18" customFormat="1" ht="15" customHeight="1">
      <c r="A10" s="408"/>
      <c r="B10" s="790" t="s">
        <v>108</v>
      </c>
      <c r="C10" s="791"/>
      <c r="D10" s="897"/>
      <c r="E10" s="127"/>
    </row>
    <row r="11" spans="1:5" s="18" customFormat="1" ht="15" customHeight="1">
      <c r="A11" s="409" t="s">
        <v>162</v>
      </c>
      <c r="B11" s="509"/>
      <c r="C11" s="477">
        <f>'Premiums QTD-7'!G12</f>
        <v>3723943</v>
      </c>
      <c r="D11" s="897"/>
      <c r="E11" s="127"/>
    </row>
    <row r="12" spans="1:5" s="18" customFormat="1" ht="15" customHeight="1">
      <c r="A12" s="409"/>
      <c r="B12" s="509"/>
      <c r="C12" s="485"/>
      <c r="D12" s="897"/>
      <c r="E12" s="127"/>
    </row>
    <row r="13" spans="1:5" s="18" customFormat="1" ht="15" customHeight="1">
      <c r="A13" s="410" t="s">
        <v>163</v>
      </c>
      <c r="B13" s="509">
        <f>'Premiums QTD-7'!G18</f>
        <v>7527378</v>
      </c>
      <c r="C13" s="122"/>
      <c r="D13" s="897"/>
      <c r="E13" s="127"/>
    </row>
    <row r="14" spans="1:5" s="18" customFormat="1" ht="15" customHeight="1">
      <c r="A14" s="410" t="s">
        <v>182</v>
      </c>
      <c r="B14" s="511">
        <f>'Premiums QTD-7'!G24</f>
        <v>7712707</v>
      </c>
      <c r="C14" s="122"/>
      <c r="D14" s="897"/>
      <c r="E14" s="127"/>
    </row>
    <row r="15" spans="1:5" s="18" customFormat="1" ht="15" customHeight="1">
      <c r="A15" s="410" t="s">
        <v>183</v>
      </c>
      <c r="B15" s="509"/>
      <c r="C15" s="512">
        <f>B14-B13</f>
        <v>185329</v>
      </c>
      <c r="D15" s="897"/>
      <c r="E15" s="127"/>
    </row>
    <row r="16" spans="1:5" s="18" customFormat="1" ht="15" customHeight="1">
      <c r="A16" s="409" t="s">
        <v>184</v>
      </c>
      <c r="B16" s="509"/>
      <c r="C16" s="122"/>
      <c r="D16" s="899">
        <f>C11+C15</f>
        <v>3909272</v>
      </c>
      <c r="E16" s="127"/>
    </row>
    <row r="17" spans="1:4" s="18" customFormat="1" ht="15" customHeight="1">
      <c r="A17" s="410" t="s">
        <v>185</v>
      </c>
      <c r="B17" s="509"/>
      <c r="C17" s="122">
        <f>'[12]Loss Expenses Paid QTD-15'!E42</f>
        <v>2249898</v>
      </c>
      <c r="D17" s="897"/>
    </row>
    <row r="18" spans="1:4" s="18" customFormat="1" ht="15" customHeight="1">
      <c r="A18" s="410" t="s">
        <v>427</v>
      </c>
      <c r="B18" s="509"/>
      <c r="C18" s="512">
        <f>-'[11]3Q08 Trial Balance'!D293</f>
        <v>232306</v>
      </c>
      <c r="D18" s="897"/>
    </row>
    <row r="19" spans="1:5" s="18" customFormat="1" ht="15" customHeight="1">
      <c r="A19" s="409" t="s">
        <v>187</v>
      </c>
      <c r="B19" s="509"/>
      <c r="C19" s="122">
        <f>C17-C18</f>
        <v>2017592</v>
      </c>
      <c r="D19" s="897"/>
      <c r="E19" s="127"/>
    </row>
    <row r="20" spans="1:5" s="18" customFormat="1" ht="15" customHeight="1">
      <c r="A20" s="410" t="s">
        <v>188</v>
      </c>
      <c r="B20" s="509">
        <f>'Losses Incurred QTD-9'!G18+'Losses Incurred QTD-9'!G24</f>
        <v>3478548</v>
      </c>
      <c r="C20" s="122" t="s">
        <v>108</v>
      </c>
      <c r="D20" s="897"/>
      <c r="E20" s="127"/>
    </row>
    <row r="21" spans="1:5" s="18" customFormat="1" ht="15" customHeight="1">
      <c r="A21" s="410" t="s">
        <v>189</v>
      </c>
      <c r="B21" s="511">
        <f>'Losses Incurred QTD-9'!G31</f>
        <v>3413086</v>
      </c>
      <c r="C21" s="122"/>
      <c r="D21" s="897"/>
      <c r="E21" s="127"/>
    </row>
    <row r="22" spans="1:5" s="18" customFormat="1" ht="15" customHeight="1">
      <c r="A22" s="410" t="s">
        <v>190</v>
      </c>
      <c r="B22" s="514"/>
      <c r="C22" s="918">
        <f>B20-B21</f>
        <v>65462</v>
      </c>
      <c r="D22" s="897"/>
      <c r="E22" s="127"/>
    </row>
    <row r="23" spans="1:6" s="18" customFormat="1" ht="15" customHeight="1">
      <c r="A23" s="409" t="s">
        <v>191</v>
      </c>
      <c r="B23" s="509"/>
      <c r="C23" s="122"/>
      <c r="D23" s="897">
        <f>C19+C22</f>
        <v>2083054</v>
      </c>
      <c r="E23" s="122"/>
      <c r="F23" s="114"/>
    </row>
    <row r="24" spans="1:5" s="18" customFormat="1" ht="15" customHeight="1">
      <c r="A24" s="410" t="s">
        <v>192</v>
      </c>
      <c r="B24" s="509"/>
      <c r="C24" s="122">
        <f>'[12]Loss Expenses Paid QTD-15'!C42</f>
        <v>199138</v>
      </c>
      <c r="D24" s="897"/>
      <c r="E24" s="334"/>
    </row>
    <row r="25" spans="1:5" s="18" customFormat="1" ht="15" customHeight="1">
      <c r="A25" s="410" t="s">
        <v>193</v>
      </c>
      <c r="B25" s="509"/>
      <c r="C25" s="512">
        <f>'[12]Loss Expenses Paid QTD-15'!I42</f>
        <v>150742</v>
      </c>
      <c r="D25" s="897"/>
      <c r="E25" s="334"/>
    </row>
    <row r="26" spans="1:5" s="18" customFormat="1" ht="15" customHeight="1">
      <c r="A26" s="409" t="s">
        <v>194</v>
      </c>
      <c r="B26" s="509"/>
      <c r="C26" s="122">
        <f>C24+C25</f>
        <v>349880</v>
      </c>
      <c r="D26" s="897"/>
      <c r="E26" s="122"/>
    </row>
    <row r="27" spans="1:5" s="18" customFormat="1" ht="15" customHeight="1">
      <c r="A27" s="410" t="s">
        <v>195</v>
      </c>
      <c r="B27" s="509">
        <f>'Loss Expenses QTD-11'!G18</f>
        <v>412992</v>
      </c>
      <c r="C27" s="122"/>
      <c r="D27" s="897"/>
      <c r="E27" s="334"/>
    </row>
    <row r="28" spans="1:5" s="18" customFormat="1" ht="15" customHeight="1">
      <c r="A28" s="410" t="s">
        <v>196</v>
      </c>
      <c r="B28" s="511">
        <f>'Loss Expenses QTD-11'!G24</f>
        <v>374743</v>
      </c>
      <c r="C28" s="122"/>
      <c r="D28" s="897"/>
      <c r="E28" s="122"/>
    </row>
    <row r="29" spans="1:7" s="18" customFormat="1" ht="15" customHeight="1">
      <c r="A29" s="410" t="s">
        <v>197</v>
      </c>
      <c r="B29" s="509"/>
      <c r="C29" s="918">
        <f>B27-B28</f>
        <v>38249</v>
      </c>
      <c r="D29" s="897"/>
      <c r="E29" s="334"/>
      <c r="G29" s="114"/>
    </row>
    <row r="30" spans="1:6" s="18" customFormat="1" ht="15" customHeight="1">
      <c r="A30" s="409" t="s">
        <v>198</v>
      </c>
      <c r="B30" s="509"/>
      <c r="C30" s="122"/>
      <c r="D30" s="898">
        <f>C26+C29</f>
        <v>388129</v>
      </c>
      <c r="E30" s="122"/>
      <c r="F30" s="114"/>
    </row>
    <row r="31" spans="1:6" s="18" customFormat="1" ht="15" customHeight="1">
      <c r="A31" s="409" t="s">
        <v>199</v>
      </c>
      <c r="B31" s="509"/>
      <c r="C31" s="122"/>
      <c r="D31" s="900">
        <f>D23+D30</f>
        <v>2471183</v>
      </c>
      <c r="E31" s="122"/>
      <c r="F31" s="114"/>
    </row>
    <row r="32" spans="1:6" s="18" customFormat="1" ht="15" customHeight="1">
      <c r="A32" s="410" t="s">
        <v>200</v>
      </c>
      <c r="B32" s="509"/>
      <c r="C32" s="122">
        <v>0</v>
      </c>
      <c r="D32" s="897"/>
      <c r="E32" s="334"/>
      <c r="F32" s="114"/>
    </row>
    <row r="33" spans="1:7" s="18" customFormat="1" ht="15" customHeight="1">
      <c r="A33" s="410" t="s">
        <v>201</v>
      </c>
      <c r="B33" s="509">
        <f>'Earned Incurred YTD-6'!$B$33</f>
        <v>25740</v>
      </c>
      <c r="C33" s="122"/>
      <c r="D33" s="897"/>
      <c r="E33" s="127"/>
      <c r="G33" s="114"/>
    </row>
    <row r="34" spans="1:7" s="18" customFormat="1" ht="15" customHeight="1">
      <c r="A34" s="410" t="s">
        <v>202</v>
      </c>
      <c r="B34" s="511">
        <v>10529</v>
      </c>
      <c r="C34" s="122" t="s">
        <v>108</v>
      </c>
      <c r="D34" s="897"/>
      <c r="E34" s="127"/>
      <c r="G34" s="114"/>
    </row>
    <row r="35" spans="1:5" s="18" customFormat="1" ht="15" customHeight="1">
      <c r="A35" s="410" t="s">
        <v>410</v>
      </c>
      <c r="B35" s="509"/>
      <c r="C35" s="918">
        <f>B33-B34</f>
        <v>15211</v>
      </c>
      <c r="D35" s="897"/>
      <c r="E35" s="127"/>
    </row>
    <row r="36" spans="1:6" s="18" customFormat="1" ht="15" customHeight="1">
      <c r="A36" s="409" t="s">
        <v>411</v>
      </c>
      <c r="B36" s="509"/>
      <c r="C36" s="122" t="s">
        <v>108</v>
      </c>
      <c r="D36" s="897">
        <f>C32+C35</f>
        <v>15211</v>
      </c>
      <c r="E36" s="127"/>
      <c r="F36" s="114"/>
    </row>
    <row r="37" spans="1:5" s="18" customFormat="1" ht="15" customHeight="1">
      <c r="A37" s="410" t="s">
        <v>323</v>
      </c>
      <c r="B37" s="509"/>
      <c r="C37" s="122">
        <f>'[11]3Q08 Trial Balance'!$D$427</f>
        <v>332875</v>
      </c>
      <c r="D37" s="897"/>
      <c r="E37" s="127"/>
    </row>
    <row r="38" spans="1:5" s="18" customFormat="1" ht="15" customHeight="1">
      <c r="A38" s="410" t="s">
        <v>302</v>
      </c>
      <c r="B38" s="509"/>
      <c r="C38" s="122">
        <f>'[11]3Q08 Trial Balance'!$D$438</f>
        <v>40701</v>
      </c>
      <c r="D38" s="897"/>
      <c r="E38" s="771"/>
    </row>
    <row r="39" spans="1:6" s="18" customFormat="1" ht="15" customHeight="1">
      <c r="A39" s="410" t="s">
        <v>496</v>
      </c>
      <c r="B39" s="509"/>
      <c r="C39" s="512">
        <f>'[11]3Q08 Trial Balance'!$D$759-C43-1</f>
        <v>952802</v>
      </c>
      <c r="D39" s="897"/>
      <c r="E39" s="771"/>
      <c r="F39" s="127"/>
    </row>
    <row r="40" spans="1:6" s="18" customFormat="1" ht="15" customHeight="1">
      <c r="A40" s="409" t="s">
        <v>497</v>
      </c>
      <c r="B40" s="509"/>
      <c r="C40" s="122">
        <f>SUM(C37:C39)</f>
        <v>1326378</v>
      </c>
      <c r="D40" s="897"/>
      <c r="E40" s="771"/>
      <c r="F40" s="127"/>
    </row>
    <row r="41" spans="1:5" s="18" customFormat="1" ht="15" customHeight="1">
      <c r="A41" s="410" t="s">
        <v>201</v>
      </c>
      <c r="B41" s="509">
        <f>'Earned Incurred YTD-6'!$B$41</f>
        <v>210561</v>
      </c>
      <c r="C41" s="122"/>
      <c r="D41" s="897"/>
      <c r="E41" s="771"/>
    </row>
    <row r="42" spans="1:5" s="18" customFormat="1" ht="15" customHeight="1">
      <c r="A42" s="410" t="s">
        <v>202</v>
      </c>
      <c r="B42" s="511">
        <v>144339</v>
      </c>
      <c r="C42" s="122" t="s">
        <v>108</v>
      </c>
      <c r="D42" s="897"/>
      <c r="E42" s="127"/>
    </row>
    <row r="43" spans="1:5" s="18" customFormat="1" ht="15" customHeight="1">
      <c r="A43" s="410" t="s">
        <v>498</v>
      </c>
      <c r="B43" s="509"/>
      <c r="C43" s="918">
        <f>+B41-B42</f>
        <v>66222</v>
      </c>
      <c r="D43" s="897"/>
      <c r="E43" s="127"/>
    </row>
    <row r="44" spans="1:6" s="18" customFormat="1" ht="15" customHeight="1">
      <c r="A44" s="409" t="s">
        <v>62</v>
      </c>
      <c r="B44" s="509"/>
      <c r="C44" s="122"/>
      <c r="D44" s="898">
        <f>SUM(C40:C43)</f>
        <v>1392600</v>
      </c>
      <c r="E44" s="127"/>
      <c r="F44" s="127"/>
    </row>
    <row r="45" spans="1:6" s="18" customFormat="1" ht="15" customHeight="1">
      <c r="A45" s="409" t="s">
        <v>499</v>
      </c>
      <c r="B45" s="509"/>
      <c r="C45" s="122"/>
      <c r="D45" s="901">
        <f>SUM(D36:D44)</f>
        <v>1407811</v>
      </c>
      <c r="E45" s="127"/>
      <c r="F45" s="120"/>
    </row>
    <row r="46" spans="1:6" s="18" customFormat="1" ht="15" customHeight="1">
      <c r="A46" s="409" t="s">
        <v>500</v>
      </c>
      <c r="B46" s="509"/>
      <c r="C46" s="122"/>
      <c r="D46" s="899">
        <f>+D31+D45</f>
        <v>3878994</v>
      </c>
      <c r="E46" s="127"/>
      <c r="F46" s="120"/>
    </row>
    <row r="47" spans="1:6" s="18" customFormat="1" ht="15" customHeight="1">
      <c r="A47" s="409" t="s">
        <v>326</v>
      </c>
      <c r="B47" s="509"/>
      <c r="C47" s="122"/>
      <c r="D47" s="900">
        <f>D16-D31-D45</f>
        <v>30278</v>
      </c>
      <c r="E47" s="48"/>
      <c r="F47" s="127"/>
    </row>
    <row r="48" spans="1:6" s="18" customFormat="1" ht="15" customHeight="1">
      <c r="A48" s="410" t="s">
        <v>44</v>
      </c>
      <c r="B48" s="509"/>
      <c r="C48" s="122">
        <f>-'[11]3Q08 Trial Balance'!$D$262-C51</f>
        <v>38228</v>
      </c>
      <c r="D48" s="897"/>
      <c r="E48" s="114"/>
      <c r="F48" s="114"/>
    </row>
    <row r="49" spans="1:5" s="18" customFormat="1" ht="15" customHeight="1">
      <c r="A49" s="410" t="s">
        <v>218</v>
      </c>
      <c r="B49" s="509">
        <f>'Earned Incurred YTD-6'!$B$49</f>
        <v>113840</v>
      </c>
      <c r="C49" s="122"/>
      <c r="D49" s="897"/>
      <c r="E49" s="127"/>
    </row>
    <row r="50" spans="1:5" s="18" customFormat="1" ht="15" customHeight="1">
      <c r="A50" s="410" t="s">
        <v>219</v>
      </c>
      <c r="B50" s="511">
        <v>41158</v>
      </c>
      <c r="C50" s="122" t="s">
        <v>108</v>
      </c>
      <c r="D50" s="897"/>
      <c r="E50" s="127"/>
    </row>
    <row r="51" spans="1:5" s="18" customFormat="1" ht="15" customHeight="1">
      <c r="A51" s="410" t="s">
        <v>220</v>
      </c>
      <c r="B51" s="509"/>
      <c r="C51" s="918">
        <f>B49-B50</f>
        <v>72682</v>
      </c>
      <c r="D51" s="897"/>
      <c r="E51" s="127"/>
    </row>
    <row r="52" spans="1:5" s="18" customFormat="1" ht="15" customHeight="1">
      <c r="A52" s="409" t="s">
        <v>45</v>
      </c>
      <c r="B52" s="509"/>
      <c r="C52" s="122"/>
      <c r="D52" s="898">
        <f>C48+C51</f>
        <v>110910</v>
      </c>
      <c r="E52" s="127"/>
    </row>
    <row r="53" spans="1:6" s="18" customFormat="1" ht="15" customHeight="1">
      <c r="A53" s="411"/>
      <c r="B53" s="509"/>
      <c r="C53" s="122"/>
      <c r="D53" s="897"/>
      <c r="E53" s="127"/>
      <c r="F53" s="114"/>
    </row>
    <row r="54" spans="1:6" s="18" customFormat="1" ht="15" customHeight="1">
      <c r="A54" s="412" t="s">
        <v>327</v>
      </c>
      <c r="B54" s="511"/>
      <c r="C54" s="512"/>
      <c r="D54" s="899">
        <f>D47+D52</f>
        <v>141188</v>
      </c>
      <c r="E54" s="48"/>
      <c r="F54" s="340"/>
    </row>
    <row r="55" spans="1:5" s="18" customFormat="1" ht="15" customHeight="1">
      <c r="A55" s="413"/>
      <c r="B55" s="793"/>
      <c r="C55" s="793"/>
      <c r="D55" s="792"/>
      <c r="E55" s="25"/>
    </row>
    <row r="56" spans="1:5" s="18" customFormat="1" ht="15" customHeight="1">
      <c r="A56" s="413"/>
      <c r="B56" s="793"/>
      <c r="C56" s="793"/>
      <c r="D56" s="792"/>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0" t="s">
        <v>98</v>
      </c>
      <c r="B1" s="991"/>
      <c r="C1" s="991"/>
      <c r="D1" s="992"/>
      <c r="E1" s="769"/>
    </row>
    <row r="2" spans="1:5" s="45" customFormat="1" ht="15" customHeight="1">
      <c r="A2" s="993"/>
      <c r="B2" s="994"/>
      <c r="C2" s="994"/>
      <c r="D2" s="995"/>
      <c r="E2" s="770"/>
    </row>
    <row r="3" spans="1:5" s="45" customFormat="1" ht="15" customHeight="1">
      <c r="A3" s="987" t="s">
        <v>61</v>
      </c>
      <c r="B3" s="988"/>
      <c r="C3" s="988"/>
      <c r="D3" s="989"/>
      <c r="E3" s="770"/>
    </row>
    <row r="4" spans="1:5" s="45" customFormat="1" ht="15" customHeight="1">
      <c r="A4" s="987" t="s">
        <v>160</v>
      </c>
      <c r="B4" s="988"/>
      <c r="C4" s="988"/>
      <c r="D4" s="989"/>
      <c r="E4" s="770"/>
    </row>
    <row r="5" spans="1:5" s="45" customFormat="1" ht="15" customHeight="1">
      <c r="A5" s="987" t="s">
        <v>281</v>
      </c>
      <c r="B5" s="988"/>
      <c r="C5" s="988"/>
      <c r="D5" s="989"/>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161</v>
      </c>
      <c r="B8" s="879" t="s">
        <v>291</v>
      </c>
      <c r="C8" s="880"/>
      <c r="D8" s="881"/>
      <c r="E8" s="127"/>
    </row>
    <row r="9" spans="1:5" s="18" customFormat="1" ht="15" customHeight="1">
      <c r="A9" s="407"/>
      <c r="B9" s="882" t="s">
        <v>369</v>
      </c>
      <c r="C9" s="883"/>
      <c r="D9" s="884"/>
      <c r="E9" s="127"/>
    </row>
    <row r="10" spans="1:5" s="18" customFormat="1" ht="15" customHeight="1">
      <c r="A10" s="408"/>
      <c r="B10" s="790" t="s">
        <v>108</v>
      </c>
      <c r="C10" s="791"/>
      <c r="D10" s="897"/>
      <c r="E10" s="127"/>
    </row>
    <row r="11" spans="1:5" s="18" customFormat="1" ht="15" customHeight="1">
      <c r="A11" s="409" t="s">
        <v>162</v>
      </c>
      <c r="B11" s="509"/>
      <c r="C11" s="477">
        <f>'Premiums YTD-8'!$G$12</f>
        <v>11295338</v>
      </c>
      <c r="D11" s="897"/>
      <c r="E11" s="127"/>
    </row>
    <row r="12" spans="1:5" s="18" customFormat="1" ht="15" customHeight="1">
      <c r="A12" s="409"/>
      <c r="B12" s="509"/>
      <c r="C12" s="485"/>
      <c r="D12" s="897"/>
      <c r="E12" s="127"/>
    </row>
    <row r="13" spans="1:5" s="18" customFormat="1" ht="15" customHeight="1">
      <c r="A13" s="410" t="s">
        <v>163</v>
      </c>
      <c r="B13" s="509">
        <f>'Premiums YTD-8'!$G$18</f>
        <v>7527378</v>
      </c>
      <c r="C13" s="122"/>
      <c r="D13" s="897"/>
      <c r="E13" s="127"/>
    </row>
    <row r="14" spans="1:5" s="18" customFormat="1" ht="15" customHeight="1">
      <c r="A14" s="410" t="s">
        <v>182</v>
      </c>
      <c r="B14" s="511">
        <f>'Premiums YTD-8'!$G$24</f>
        <v>8407132.85</v>
      </c>
      <c r="C14" s="122"/>
      <c r="D14" s="897"/>
      <c r="E14" s="127"/>
    </row>
    <row r="15" spans="1:5" s="18" customFormat="1" ht="15" customHeight="1">
      <c r="A15" s="410" t="s">
        <v>183</v>
      </c>
      <c r="B15" s="509"/>
      <c r="C15" s="512">
        <f>B14-B13</f>
        <v>879754.8499999996</v>
      </c>
      <c r="D15" s="897"/>
      <c r="E15" s="127"/>
    </row>
    <row r="16" spans="1:5" s="18" customFormat="1" ht="15" customHeight="1">
      <c r="A16" s="409" t="s">
        <v>184</v>
      </c>
      <c r="B16" s="509"/>
      <c r="C16" s="122"/>
      <c r="D16" s="899">
        <f>C11+C15</f>
        <v>12175092.85</v>
      </c>
      <c r="E16" s="127"/>
    </row>
    <row r="17" spans="1:4" s="18" customFormat="1" ht="15" customHeight="1">
      <c r="A17" s="410" t="s">
        <v>185</v>
      </c>
      <c r="B17" s="509"/>
      <c r="C17" s="122">
        <f>'[12]Loss Expenses Paid YTD-16'!$E$42</f>
        <v>7180623</v>
      </c>
      <c r="D17" s="897"/>
    </row>
    <row r="18" spans="1:4" s="18" customFormat="1" ht="15" customHeight="1">
      <c r="A18" s="410" t="s">
        <v>427</v>
      </c>
      <c r="B18" s="509"/>
      <c r="C18" s="512">
        <f>-'[11]3Q08 Trial Balance'!$F$293</f>
        <v>280301</v>
      </c>
      <c r="D18" s="897"/>
    </row>
    <row r="19" spans="1:5" s="18" customFormat="1" ht="15" customHeight="1">
      <c r="A19" s="409" t="s">
        <v>187</v>
      </c>
      <c r="B19" s="509"/>
      <c r="C19" s="122">
        <f>C17-C18</f>
        <v>6900322</v>
      </c>
      <c r="D19" s="897"/>
      <c r="E19" s="127"/>
    </row>
    <row r="20" spans="1:5" s="18" customFormat="1" ht="15" customHeight="1">
      <c r="A20" s="410" t="s">
        <v>188</v>
      </c>
      <c r="B20" s="509">
        <f>'Losses Incurred YTD-10'!G18+'Losses Incurred YTD-10'!G24</f>
        <v>3478548</v>
      </c>
      <c r="C20" s="122" t="s">
        <v>108</v>
      </c>
      <c r="D20" s="897"/>
      <c r="E20" s="127"/>
    </row>
    <row r="21" spans="1:5" s="18" customFormat="1" ht="15" customHeight="1">
      <c r="A21" s="410" t="s">
        <v>189</v>
      </c>
      <c r="B21" s="511">
        <f>'Losses Incurred YTD-10'!G31</f>
        <v>3965422.6599999997</v>
      </c>
      <c r="C21" s="122"/>
      <c r="D21" s="897"/>
      <c r="E21" s="127"/>
    </row>
    <row r="22" spans="1:5" s="18" customFormat="1" ht="15" customHeight="1">
      <c r="A22" s="410" t="s">
        <v>190</v>
      </c>
      <c r="B22" s="514"/>
      <c r="C22" s="918">
        <f>B20-B21</f>
        <v>-486874.6599999997</v>
      </c>
      <c r="D22" s="897"/>
      <c r="E22" s="127"/>
    </row>
    <row r="23" spans="1:6" s="18" customFormat="1" ht="15" customHeight="1">
      <c r="A23" s="409" t="s">
        <v>191</v>
      </c>
      <c r="B23" s="509"/>
      <c r="C23" s="122"/>
      <c r="D23" s="897">
        <f>C19+C22</f>
        <v>6413447.34</v>
      </c>
      <c r="E23" s="122"/>
      <c r="F23" s="114"/>
    </row>
    <row r="24" spans="1:5" s="18" customFormat="1" ht="15" customHeight="1">
      <c r="A24" s="410" t="s">
        <v>192</v>
      </c>
      <c r="B24" s="509"/>
      <c r="C24" s="122">
        <f>'[12]Loss Expenses Paid YTD-16'!C42</f>
        <v>570040</v>
      </c>
      <c r="D24" s="897"/>
      <c r="E24" s="334"/>
    </row>
    <row r="25" spans="1:5" s="18" customFormat="1" ht="15" customHeight="1">
      <c r="A25" s="410" t="s">
        <v>193</v>
      </c>
      <c r="B25" s="509"/>
      <c r="C25" s="512">
        <f>'[12]Loss Expenses Paid YTD-16'!I42</f>
        <v>506222</v>
      </c>
      <c r="D25" s="897"/>
      <c r="E25" s="334"/>
    </row>
    <row r="26" spans="1:5" s="18" customFormat="1" ht="15" customHeight="1">
      <c r="A26" s="409" t="s">
        <v>194</v>
      </c>
      <c r="B26" s="509"/>
      <c r="C26" s="122">
        <f>C24+C25</f>
        <v>1076262</v>
      </c>
      <c r="D26" s="897"/>
      <c r="E26" s="122"/>
    </row>
    <row r="27" spans="1:5" s="18" customFormat="1" ht="15" customHeight="1">
      <c r="A27" s="410" t="s">
        <v>195</v>
      </c>
      <c r="B27" s="509">
        <f>'Loss Expenses YTD-12'!G18</f>
        <v>412992</v>
      </c>
      <c r="C27" s="122"/>
      <c r="D27" s="897"/>
      <c r="E27" s="334"/>
    </row>
    <row r="28" spans="1:5" s="18" customFormat="1" ht="15" customHeight="1">
      <c r="A28" s="410" t="s">
        <v>196</v>
      </c>
      <c r="B28" s="511">
        <f>'Loss Expenses YTD-12'!G24</f>
        <v>462641.17</v>
      </c>
      <c r="C28" s="122"/>
      <c r="D28" s="897"/>
      <c r="E28" s="122"/>
    </row>
    <row r="29" spans="1:7" s="18" customFormat="1" ht="15" customHeight="1">
      <c r="A29" s="410" t="s">
        <v>197</v>
      </c>
      <c r="B29" s="509"/>
      <c r="C29" s="918">
        <f>B27-B28</f>
        <v>-49649.169999999984</v>
      </c>
      <c r="D29" s="897"/>
      <c r="E29" s="334"/>
      <c r="G29" s="114"/>
    </row>
    <row r="30" spans="1:6" s="18" customFormat="1" ht="15" customHeight="1">
      <c r="A30" s="409" t="s">
        <v>198</v>
      </c>
      <c r="B30" s="509"/>
      <c r="C30" s="122"/>
      <c r="D30" s="898">
        <f>C26+C29</f>
        <v>1026612.8300000001</v>
      </c>
      <c r="E30" s="122"/>
      <c r="F30" s="114"/>
    </row>
    <row r="31" spans="1:6" s="18" customFormat="1" ht="15" customHeight="1">
      <c r="A31" s="409" t="s">
        <v>199</v>
      </c>
      <c r="B31" s="509"/>
      <c r="C31" s="122"/>
      <c r="D31" s="900">
        <f>D23+D30</f>
        <v>7440060.17</v>
      </c>
      <c r="E31" s="122"/>
      <c r="F31" s="114"/>
    </row>
    <row r="32" spans="1:6" s="18" customFormat="1" ht="15" customHeight="1">
      <c r="A32" s="410" t="s">
        <v>200</v>
      </c>
      <c r="B32" s="509"/>
      <c r="C32" s="122">
        <f>22678.73-7016.67+18366.4+21900</f>
        <v>55928.46</v>
      </c>
      <c r="D32" s="897"/>
      <c r="E32" s="334"/>
      <c r="F32" s="114"/>
    </row>
    <row r="33" spans="1:7" s="18" customFormat="1" ht="15" customHeight="1">
      <c r="A33" s="410" t="s">
        <v>201</v>
      </c>
      <c r="B33" s="509">
        <f>-'[11]3Q08 Trial Balance'!F143</f>
        <v>25740</v>
      </c>
      <c r="C33" s="122"/>
      <c r="D33" s="897"/>
      <c r="E33" s="127"/>
      <c r="G33" s="114"/>
    </row>
    <row r="34" spans="1:7" s="18" customFormat="1" ht="15" customHeight="1">
      <c r="A34" s="410" t="s">
        <v>202</v>
      </c>
      <c r="B34" s="511">
        <v>42577.28</v>
      </c>
      <c r="C34" s="122" t="s">
        <v>108</v>
      </c>
      <c r="D34" s="897"/>
      <c r="E34" s="127"/>
      <c r="G34" s="114"/>
    </row>
    <row r="35" spans="1:5" s="18" customFormat="1" ht="15" customHeight="1">
      <c r="A35" s="410" t="s">
        <v>410</v>
      </c>
      <c r="B35" s="509"/>
      <c r="C35" s="918">
        <f>B33-B34</f>
        <v>-16837.28</v>
      </c>
      <c r="D35" s="897"/>
      <c r="E35" s="127"/>
    </row>
    <row r="36" spans="1:6" s="18" customFormat="1" ht="15" customHeight="1">
      <c r="A36" s="409" t="s">
        <v>411</v>
      </c>
      <c r="B36" s="509"/>
      <c r="C36" s="122" t="s">
        <v>108</v>
      </c>
      <c r="D36" s="897">
        <f>C32+C35</f>
        <v>39091.18</v>
      </c>
      <c r="E36" s="127"/>
      <c r="F36" s="114"/>
    </row>
    <row r="37" spans="1:5" s="18" customFormat="1" ht="15" customHeight="1">
      <c r="A37" s="410" t="s">
        <v>323</v>
      </c>
      <c r="B37" s="509"/>
      <c r="C37" s="122">
        <f>'[11]3Q08 Trial Balance'!$F$427</f>
        <v>1002791</v>
      </c>
      <c r="D37" s="897"/>
      <c r="E37" s="127"/>
    </row>
    <row r="38" spans="1:5" s="18" customFormat="1" ht="15" customHeight="1">
      <c r="A38" s="410" t="s">
        <v>302</v>
      </c>
      <c r="B38" s="509"/>
      <c r="C38" s="122">
        <f>'[11]3Q08 Trial Balance'!$F$438</f>
        <v>137785</v>
      </c>
      <c r="D38" s="897"/>
      <c r="E38" s="771"/>
    </row>
    <row r="39" spans="1:6" s="18" customFormat="1" ht="15" customHeight="1">
      <c r="A39" s="410" t="s">
        <v>496</v>
      </c>
      <c r="B39" s="509"/>
      <c r="C39" s="512">
        <f>'[11]3Q08 Trial Balance'!$F$759-C43-2</f>
        <v>3223209.54</v>
      </c>
      <c r="D39" s="897"/>
      <c r="E39" s="771"/>
      <c r="F39" s="127"/>
    </row>
    <row r="40" spans="1:6" s="18" customFormat="1" ht="15" customHeight="1">
      <c r="A40" s="409" t="s">
        <v>497</v>
      </c>
      <c r="B40" s="509"/>
      <c r="C40" s="122">
        <f>SUM(C37:C39)</f>
        <v>4363785.54</v>
      </c>
      <c r="D40" s="897"/>
      <c r="E40" s="771"/>
      <c r="F40" s="127"/>
    </row>
    <row r="41" spans="1:5" s="18" customFormat="1" ht="15" customHeight="1">
      <c r="A41" s="410" t="s">
        <v>201</v>
      </c>
      <c r="B41" s="509">
        <f>-'[11]3Q08 Trial Balance'!$F$159</f>
        <v>210561</v>
      </c>
      <c r="C41" s="122"/>
      <c r="D41" s="897"/>
      <c r="E41" s="771"/>
    </row>
    <row r="42" spans="1:5" s="18" customFormat="1" ht="15" customHeight="1">
      <c r="A42" s="410" t="s">
        <v>202</v>
      </c>
      <c r="B42" s="511">
        <v>188315.54</v>
      </c>
      <c r="C42" s="122" t="s">
        <v>108</v>
      </c>
      <c r="D42" s="897"/>
      <c r="E42" s="127"/>
    </row>
    <row r="43" spans="1:5" s="18" customFormat="1" ht="15" customHeight="1">
      <c r="A43" s="410" t="s">
        <v>498</v>
      </c>
      <c r="B43" s="509"/>
      <c r="C43" s="918">
        <f>+B41-B42</f>
        <v>22245.459999999992</v>
      </c>
      <c r="D43" s="897"/>
      <c r="E43" s="127"/>
    </row>
    <row r="44" spans="1:6" s="18" customFormat="1" ht="15" customHeight="1">
      <c r="A44" s="409" t="s">
        <v>62</v>
      </c>
      <c r="B44" s="509"/>
      <c r="C44" s="122"/>
      <c r="D44" s="898">
        <f>SUM(C40:C43)</f>
        <v>4386031</v>
      </c>
      <c r="E44" s="127"/>
      <c r="F44" s="127"/>
    </row>
    <row r="45" spans="1:6" s="18" customFormat="1" ht="15" customHeight="1">
      <c r="A45" s="409" t="s">
        <v>499</v>
      </c>
      <c r="B45" s="509"/>
      <c r="C45" s="122"/>
      <c r="D45" s="901">
        <f>SUM(D36:D44)</f>
        <v>4425122.18</v>
      </c>
      <c r="E45" s="127"/>
      <c r="F45" s="120"/>
    </row>
    <row r="46" spans="1:6" s="18" customFormat="1" ht="15" customHeight="1">
      <c r="A46" s="409" t="s">
        <v>500</v>
      </c>
      <c r="B46" s="509"/>
      <c r="C46" s="122"/>
      <c r="D46" s="899">
        <f>+D31+D45</f>
        <v>11865182.35</v>
      </c>
      <c r="E46" s="127"/>
      <c r="F46" s="120"/>
    </row>
    <row r="47" spans="1:6" s="18" customFormat="1" ht="15" customHeight="1">
      <c r="A47" s="409" t="s">
        <v>326</v>
      </c>
      <c r="B47" s="509"/>
      <c r="C47" s="122"/>
      <c r="D47" s="900">
        <f>D16-D31-D45</f>
        <v>309910.5</v>
      </c>
      <c r="E47" s="48"/>
      <c r="F47" s="127"/>
    </row>
    <row r="48" spans="1:6" s="18" customFormat="1" ht="15" customHeight="1">
      <c r="A48" s="410" t="s">
        <v>44</v>
      </c>
      <c r="B48" s="509"/>
      <c r="C48" s="122">
        <f>-'[11]3Q08 Trial Balance'!$F$262-C51</f>
        <v>364498.71</v>
      </c>
      <c r="D48" s="897"/>
      <c r="E48" s="114"/>
      <c r="F48" s="114"/>
    </row>
    <row r="49" spans="1:5" s="18" customFormat="1" ht="15" customHeight="1">
      <c r="A49" s="410" t="s">
        <v>218</v>
      </c>
      <c r="B49" s="509">
        <f>'[11]3Q08 Trial Balance'!$F$25</f>
        <v>113840</v>
      </c>
      <c r="C49" s="122"/>
      <c r="D49" s="897"/>
      <c r="E49" s="127"/>
    </row>
    <row r="50" spans="1:5" s="18" customFormat="1" ht="15" customHeight="1">
      <c r="A50" s="410" t="s">
        <v>219</v>
      </c>
      <c r="B50" s="511">
        <v>94328.71</v>
      </c>
      <c r="C50" s="122" t="s">
        <v>108</v>
      </c>
      <c r="D50" s="897"/>
      <c r="E50" s="127"/>
    </row>
    <row r="51" spans="1:5" s="18" customFormat="1" ht="15" customHeight="1">
      <c r="A51" s="410" t="s">
        <v>220</v>
      </c>
      <c r="B51" s="509"/>
      <c r="C51" s="918">
        <f>B49-B50</f>
        <v>19511.289999999994</v>
      </c>
      <c r="D51" s="897"/>
      <c r="E51" s="127"/>
    </row>
    <row r="52" spans="1:5" s="18" customFormat="1" ht="15" customHeight="1">
      <c r="A52" s="409" t="s">
        <v>45</v>
      </c>
      <c r="B52" s="509"/>
      <c r="C52" s="122"/>
      <c r="D52" s="898">
        <f>C48+C51</f>
        <v>384010</v>
      </c>
      <c r="E52" s="127"/>
    </row>
    <row r="53" spans="1:6" s="18" customFormat="1" ht="15" customHeight="1">
      <c r="A53" s="411"/>
      <c r="B53" s="509"/>
      <c r="C53" s="122"/>
      <c r="D53" s="897"/>
      <c r="E53" s="127"/>
      <c r="F53" s="114"/>
    </row>
    <row r="54" spans="1:6" s="18" customFormat="1" ht="15" customHeight="1">
      <c r="A54" s="412" t="s">
        <v>327</v>
      </c>
      <c r="B54" s="511"/>
      <c r="C54" s="512"/>
      <c r="D54" s="899">
        <f>D47+D52</f>
        <v>693920.5</v>
      </c>
      <c r="E54" s="48"/>
      <c r="F54" s="340"/>
    </row>
    <row r="55" spans="1:5" s="18" customFormat="1" ht="15" customHeight="1">
      <c r="A55" s="413"/>
      <c r="B55" s="793"/>
      <c r="C55" s="793"/>
      <c r="D55" s="792"/>
      <c r="E55" s="25"/>
    </row>
    <row r="56" spans="1:5" s="18" customFormat="1" ht="15" customHeight="1">
      <c r="A56" s="413"/>
      <c r="B56" s="793"/>
      <c r="C56" s="793"/>
      <c r="D56" s="792"/>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98</v>
      </c>
      <c r="B1" s="423"/>
      <c r="C1" s="423"/>
      <c r="D1" s="423"/>
      <c r="E1" s="423"/>
      <c r="F1" s="423"/>
      <c r="G1" s="424"/>
    </row>
    <row r="2" spans="1:7" s="98" customFormat="1" ht="15" customHeight="1">
      <c r="A2" s="425"/>
      <c r="B2" s="426"/>
      <c r="C2" s="426"/>
      <c r="D2" s="426"/>
      <c r="E2" s="426"/>
      <c r="F2" s="426"/>
      <c r="G2" s="427"/>
    </row>
    <row r="3" spans="1:7" ht="15" customHeight="1">
      <c r="A3" s="840" t="s">
        <v>221</v>
      </c>
      <c r="B3" s="841"/>
      <c r="C3" s="841"/>
      <c r="D3" s="841"/>
      <c r="E3" s="841"/>
      <c r="F3" s="841"/>
      <c r="G3" s="842"/>
    </row>
    <row r="4" spans="1:7" ht="15" customHeight="1">
      <c r="A4" s="840" t="s">
        <v>282</v>
      </c>
      <c r="B4" s="841"/>
      <c r="C4" s="841"/>
      <c r="D4" s="841"/>
      <c r="E4" s="841"/>
      <c r="F4" s="841"/>
      <c r="G4" s="842"/>
    </row>
    <row r="5" spans="1:7" s="14" customFormat="1" ht="15" customHeight="1">
      <c r="A5" s="429"/>
      <c r="B5" s="430"/>
      <c r="C5" s="430"/>
      <c r="D5" s="430"/>
      <c r="E5" s="430"/>
      <c r="F5" s="430"/>
      <c r="G5" s="430"/>
    </row>
    <row r="6" spans="2:7" s="14" customFormat="1" ht="30" customHeight="1">
      <c r="B6" s="875" t="s">
        <v>337</v>
      </c>
      <c r="C6" s="875" t="s">
        <v>331</v>
      </c>
      <c r="D6" s="875" t="s">
        <v>351</v>
      </c>
      <c r="E6" s="875" t="s">
        <v>330</v>
      </c>
      <c r="F6" s="876" t="s">
        <v>338</v>
      </c>
      <c r="G6" s="878" t="s">
        <v>99</v>
      </c>
    </row>
    <row r="7" spans="1:7" s="99" customFormat="1" ht="15" customHeight="1">
      <c r="A7" s="431" t="s">
        <v>430</v>
      </c>
      <c r="B7" s="476"/>
      <c r="C7" s="476"/>
      <c r="D7" s="476"/>
      <c r="E7" s="476"/>
      <c r="F7" s="126"/>
      <c r="G7" s="476"/>
    </row>
    <row r="8" spans="1:7" s="14" customFormat="1" ht="15" customHeight="1">
      <c r="A8" s="432" t="s">
        <v>222</v>
      </c>
      <c r="B8" s="372"/>
      <c r="C8" s="372"/>
      <c r="D8" s="372"/>
      <c r="E8" s="372"/>
      <c r="F8" s="372"/>
      <c r="G8" s="372"/>
    </row>
    <row r="9" spans="1:7" s="99" customFormat="1" ht="15" customHeight="1">
      <c r="A9" s="371" t="s">
        <v>309</v>
      </c>
      <c r="B9" s="476">
        <f>-'[11]3Q08 Trial Balance'!C227</f>
        <v>2842510</v>
      </c>
      <c r="C9" s="907">
        <f>-'[11]3Q08 Trial Balance'!C223</f>
        <v>-21152</v>
      </c>
      <c r="D9" s="907">
        <f>-'[11]3Q08 Trial Balance'!C220</f>
        <v>-430</v>
      </c>
      <c r="E9" s="589">
        <v>0</v>
      </c>
      <c r="F9" s="589">
        <v>0</v>
      </c>
      <c r="G9" s="476">
        <f>SUM(B9:F9)</f>
        <v>2820928</v>
      </c>
    </row>
    <row r="10" spans="1:7" s="14" customFormat="1" ht="15" customHeight="1">
      <c r="A10" s="371" t="s">
        <v>236</v>
      </c>
      <c r="B10" s="126">
        <f>-'[11]3Q08 Trial Balance'!C228</f>
        <v>896458</v>
      </c>
      <c r="C10" s="910">
        <f>-'[11]3Q08 Trial Balance'!C224</f>
        <v>-6535</v>
      </c>
      <c r="D10" s="910">
        <f>-'[11]3Q08 Trial Balance'!C221</f>
        <v>-144</v>
      </c>
      <c r="E10" s="126">
        <v>0</v>
      </c>
      <c r="F10" s="126">
        <v>0</v>
      </c>
      <c r="G10" s="485">
        <f>SUM(B10:F10)</f>
        <v>889779</v>
      </c>
    </row>
    <row r="11" spans="1:7" s="14" customFormat="1" ht="15" customHeight="1">
      <c r="A11" s="371" t="s">
        <v>237</v>
      </c>
      <c r="B11" s="126">
        <f>-'[11]3Q08 Trial Balance'!C229</f>
        <v>13272</v>
      </c>
      <c r="C11" s="910">
        <f>-'[11]3Q08 Trial Balance'!C225</f>
        <v>-36</v>
      </c>
      <c r="D11" s="126">
        <v>0</v>
      </c>
      <c r="E11" s="126">
        <v>0</v>
      </c>
      <c r="F11" s="126">
        <v>0</v>
      </c>
      <c r="G11" s="485">
        <f>SUM(B11:F11)</f>
        <v>13236</v>
      </c>
    </row>
    <row r="12" spans="1:7" s="24" customFormat="1" ht="15" customHeight="1" thickBot="1">
      <c r="A12" s="433" t="s">
        <v>226</v>
      </c>
      <c r="B12" s="138">
        <f aca="true" t="shared" si="0" ref="B12:G12">SUM(B9:B11)</f>
        <v>3752240</v>
      </c>
      <c r="C12" s="917">
        <f t="shared" si="0"/>
        <v>-27723</v>
      </c>
      <c r="D12" s="917">
        <f t="shared" si="0"/>
        <v>-574</v>
      </c>
      <c r="E12" s="138">
        <f t="shared" si="0"/>
        <v>0</v>
      </c>
      <c r="F12" s="138">
        <f t="shared" si="0"/>
        <v>0</v>
      </c>
      <c r="G12" s="767">
        <f t="shared" si="0"/>
        <v>3723943</v>
      </c>
    </row>
    <row r="13" spans="1:7" s="24" customFormat="1" ht="15" customHeight="1" thickTop="1">
      <c r="A13" s="371"/>
      <c r="B13" s="126"/>
      <c r="C13" s="126"/>
      <c r="D13" s="126"/>
      <c r="E13" s="126"/>
      <c r="F13" s="126"/>
      <c r="G13" s="256"/>
    </row>
    <row r="14" spans="1:7" s="24" customFormat="1" ht="30" customHeight="1">
      <c r="A14" s="432" t="s">
        <v>287</v>
      </c>
      <c r="B14" s="126"/>
      <c r="C14" s="126"/>
      <c r="D14" s="126"/>
      <c r="E14" s="126"/>
      <c r="F14" s="126"/>
      <c r="G14" s="126"/>
    </row>
    <row r="15" spans="1:7" s="24" customFormat="1" ht="15" customHeight="1">
      <c r="A15" s="371" t="s">
        <v>309</v>
      </c>
      <c r="B15" s="126">
        <f>'Premiums YTD-8'!B15</f>
        <v>5368384</v>
      </c>
      <c r="C15" s="126">
        <f>'Premiums YTD-8'!C15</f>
        <v>367843</v>
      </c>
      <c r="D15" s="589">
        <v>0</v>
      </c>
      <c r="E15" s="589">
        <v>0</v>
      </c>
      <c r="F15" s="589">
        <v>0</v>
      </c>
      <c r="G15" s="485">
        <f>SUM(B15:F15)</f>
        <v>5736227</v>
      </c>
    </row>
    <row r="16" spans="1:7" s="24" customFormat="1" ht="15" customHeight="1">
      <c r="A16" s="371" t="s">
        <v>367</v>
      </c>
      <c r="B16" s="126">
        <f>'Premiums YTD-8'!B16</f>
        <v>1660754</v>
      </c>
      <c r="C16" s="126">
        <f>'Premiums YTD-8'!C16</f>
        <v>107915</v>
      </c>
      <c r="D16" s="126">
        <v>0</v>
      </c>
      <c r="E16" s="126">
        <v>0</v>
      </c>
      <c r="F16" s="126">
        <v>0</v>
      </c>
      <c r="G16" s="485">
        <f>SUM(B16:F16)</f>
        <v>1768669</v>
      </c>
    </row>
    <row r="17" spans="1:7" s="24" customFormat="1" ht="15" customHeight="1">
      <c r="A17" s="371" t="s">
        <v>249</v>
      </c>
      <c r="B17" s="126">
        <f>'Premiums YTD-8'!B17</f>
        <v>21546</v>
      </c>
      <c r="C17" s="126">
        <f>'Premiums YTD-8'!C17</f>
        <v>936</v>
      </c>
      <c r="D17" s="126">
        <v>0</v>
      </c>
      <c r="E17" s="126">
        <v>0</v>
      </c>
      <c r="F17" s="126">
        <v>0</v>
      </c>
      <c r="G17" s="766">
        <f>SUM(B17:F17)</f>
        <v>22482</v>
      </c>
    </row>
    <row r="18" spans="1:7" s="24" customFormat="1" ht="15" customHeight="1" thickBot="1">
      <c r="A18" s="433" t="s">
        <v>226</v>
      </c>
      <c r="B18" s="138">
        <f>SUM(B15:B17)</f>
        <v>7050684</v>
      </c>
      <c r="C18" s="138">
        <f>SUM(C15:C17)</f>
        <v>476694</v>
      </c>
      <c r="D18" s="138">
        <f>SUM(D15:D17)</f>
        <v>0</v>
      </c>
      <c r="E18" s="138">
        <f>SUM(E15:E17)</f>
        <v>0</v>
      </c>
      <c r="F18" s="138">
        <v>0</v>
      </c>
      <c r="G18" s="767">
        <f>SUM(G15:G17)</f>
        <v>7527378</v>
      </c>
    </row>
    <row r="19" spans="1:7" s="24" customFormat="1" ht="15" customHeight="1" thickTop="1">
      <c r="A19" s="371"/>
      <c r="B19" s="126"/>
      <c r="C19" s="126"/>
      <c r="D19" s="126"/>
      <c r="E19" s="126"/>
      <c r="F19" s="126"/>
      <c r="G19" s="256"/>
    </row>
    <row r="20" spans="1:7" s="24" customFormat="1" ht="30" customHeight="1">
      <c r="A20" s="432" t="s">
        <v>290</v>
      </c>
      <c r="B20" s="312"/>
      <c r="C20" s="312"/>
      <c r="D20" s="312"/>
      <c r="E20" s="312"/>
      <c r="F20" s="126"/>
      <c r="G20" s="126"/>
    </row>
    <row r="21" spans="1:7" s="24" customFormat="1" ht="15" customHeight="1">
      <c r="A21" s="371" t="s">
        <v>309</v>
      </c>
      <c r="B21" s="126">
        <v>4347119</v>
      </c>
      <c r="C21" s="126">
        <v>1565838</v>
      </c>
      <c r="D21" s="589">
        <v>0</v>
      </c>
      <c r="E21" s="589">
        <v>0</v>
      </c>
      <c r="F21" s="589">
        <v>0</v>
      </c>
      <c r="G21" s="485">
        <f>SUM(B21:F21)</f>
        <v>5912957</v>
      </c>
    </row>
    <row r="22" spans="1:7" s="24" customFormat="1" ht="15" customHeight="1">
      <c r="A22" s="371" t="s">
        <v>236</v>
      </c>
      <c r="B22" s="126">
        <v>1316461</v>
      </c>
      <c r="C22" s="126">
        <v>463918</v>
      </c>
      <c r="D22" s="126">
        <v>0</v>
      </c>
      <c r="E22" s="126">
        <v>0</v>
      </c>
      <c r="F22" s="126">
        <v>0</v>
      </c>
      <c r="G22" s="485">
        <f>SUM(B22:F22)</f>
        <v>1780379</v>
      </c>
    </row>
    <row r="23" spans="1:7" s="24" customFormat="1" ht="15" customHeight="1">
      <c r="A23" s="371" t="s">
        <v>237</v>
      </c>
      <c r="B23" s="126">
        <v>14944</v>
      </c>
      <c r="C23" s="126">
        <v>4427</v>
      </c>
      <c r="D23" s="126">
        <v>0</v>
      </c>
      <c r="E23" s="126">
        <v>0</v>
      </c>
      <c r="F23" s="126">
        <v>0</v>
      </c>
      <c r="G23" s="485">
        <f>SUM(B23:F23)</f>
        <v>19371</v>
      </c>
    </row>
    <row r="24" spans="1:7" s="24" customFormat="1" ht="15" customHeight="1" thickBot="1">
      <c r="A24" s="433" t="s">
        <v>226</v>
      </c>
      <c r="B24" s="138">
        <f>SUM(B21:B23)</f>
        <v>5678524</v>
      </c>
      <c r="C24" s="138">
        <f>SUM(C21:C23)</f>
        <v>2034183</v>
      </c>
      <c r="D24" s="138">
        <f>SUM(D21:D23)</f>
        <v>0</v>
      </c>
      <c r="E24" s="138">
        <f>SUM(E21:E23)</f>
        <v>0</v>
      </c>
      <c r="F24" s="138">
        <f>SUM(F21:F23)</f>
        <v>0</v>
      </c>
      <c r="G24" s="129">
        <f>SUM(B24:F24)</f>
        <v>7712707</v>
      </c>
    </row>
    <row r="25" spans="1:7" s="782" customFormat="1" ht="15" customHeight="1" thickTop="1">
      <c r="A25" s="434"/>
      <c r="B25" s="126"/>
      <c r="C25" s="126"/>
      <c r="D25" s="126"/>
      <c r="E25" s="126"/>
      <c r="F25" s="126"/>
      <c r="G25" s="781"/>
    </row>
    <row r="26" spans="1:7" s="24" customFormat="1" ht="15" customHeight="1">
      <c r="A26" s="432" t="s">
        <v>227</v>
      </c>
      <c r="B26" s="126"/>
      <c r="C26" s="126"/>
      <c r="D26" s="126"/>
      <c r="E26" s="126"/>
      <c r="F26" s="126"/>
      <c r="G26" s="126"/>
    </row>
    <row r="27" spans="1:7" s="24" customFormat="1" ht="15" customHeight="1">
      <c r="A27" s="371" t="s">
        <v>309</v>
      </c>
      <c r="B27" s="126">
        <f aca="true" t="shared" si="1" ref="B27:F29">B9-(B15-B21)</f>
        <v>1821245</v>
      </c>
      <c r="C27" s="126">
        <f t="shared" si="1"/>
        <v>1176843</v>
      </c>
      <c r="D27" s="910">
        <f t="shared" si="1"/>
        <v>-430</v>
      </c>
      <c r="E27" s="126">
        <f t="shared" si="1"/>
        <v>0</v>
      </c>
      <c r="F27" s="126">
        <f t="shared" si="1"/>
        <v>0</v>
      </c>
      <c r="G27" s="485">
        <f>SUM(B27:F27)</f>
        <v>2997658</v>
      </c>
    </row>
    <row r="28" spans="1:7" s="24" customFormat="1" ht="15" customHeight="1">
      <c r="A28" s="371" t="s">
        <v>236</v>
      </c>
      <c r="B28" s="126">
        <f t="shared" si="1"/>
        <v>552165</v>
      </c>
      <c r="C28" s="126">
        <f t="shared" si="1"/>
        <v>349468</v>
      </c>
      <c r="D28" s="910">
        <f t="shared" si="1"/>
        <v>-144</v>
      </c>
      <c r="E28" s="126">
        <f t="shared" si="1"/>
        <v>0</v>
      </c>
      <c r="F28" s="126">
        <f t="shared" si="1"/>
        <v>0</v>
      </c>
      <c r="G28" s="485">
        <f>SUM(B28:F28)</f>
        <v>901489</v>
      </c>
    </row>
    <row r="29" spans="1:7" s="24" customFormat="1" ht="15" customHeight="1">
      <c r="A29" s="435" t="s">
        <v>237</v>
      </c>
      <c r="B29" s="485">
        <f t="shared" si="1"/>
        <v>6670</v>
      </c>
      <c r="C29" s="485">
        <f t="shared" si="1"/>
        <v>3455</v>
      </c>
      <c r="D29" s="485">
        <f t="shared" si="1"/>
        <v>0</v>
      </c>
      <c r="E29" s="485">
        <f t="shared" si="1"/>
        <v>0</v>
      </c>
      <c r="F29" s="126">
        <f t="shared" si="1"/>
        <v>0</v>
      </c>
      <c r="G29" s="485">
        <f>SUM(B29:F29)</f>
        <v>10125</v>
      </c>
    </row>
    <row r="30" spans="1:7" s="24" customFormat="1" ht="15" customHeight="1" thickBot="1">
      <c r="A30" s="433" t="s">
        <v>226</v>
      </c>
      <c r="B30" s="544">
        <f aca="true" t="shared" si="2" ref="B30:G30">SUM(B27:B29)</f>
        <v>2380080</v>
      </c>
      <c r="C30" s="544">
        <f t="shared" si="2"/>
        <v>1529766</v>
      </c>
      <c r="D30" s="916">
        <f t="shared" si="2"/>
        <v>-574</v>
      </c>
      <c r="E30" s="902">
        <f t="shared" si="2"/>
        <v>0</v>
      </c>
      <c r="F30" s="902">
        <f t="shared" si="2"/>
        <v>0</v>
      </c>
      <c r="G30" s="544">
        <f t="shared" si="2"/>
        <v>3909272</v>
      </c>
    </row>
    <row r="31" spans="2:7" s="14" customFormat="1" ht="15" customHeight="1" thickTop="1">
      <c r="B31" s="256"/>
      <c r="C31" s="256"/>
      <c r="D31" s="256"/>
      <c r="E31" s="256"/>
      <c r="F31" s="256"/>
      <c r="G31" s="256"/>
    </row>
    <row r="32" spans="1:7" s="14" customFormat="1" ht="9.75" customHeight="1">
      <c r="A32" s="996" t="s">
        <v>333</v>
      </c>
      <c r="B32" s="997"/>
      <c r="C32" s="997"/>
      <c r="D32" s="997"/>
      <c r="E32" s="996"/>
      <c r="F32" s="996"/>
      <c r="G32" s="996"/>
    </row>
    <row r="33" spans="1:7" s="14" customFormat="1" ht="9.75" customHeight="1">
      <c r="A33" s="996"/>
      <c r="B33" s="997"/>
      <c r="C33" s="997"/>
      <c r="D33" s="997"/>
      <c r="E33" s="996"/>
      <c r="F33" s="996"/>
      <c r="G33" s="996"/>
    </row>
  </sheetData>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98</v>
      </c>
      <c r="B1" s="423"/>
      <c r="C1" s="423"/>
      <c r="D1" s="423"/>
      <c r="E1" s="423"/>
      <c r="F1" s="423"/>
      <c r="G1" s="424"/>
    </row>
    <row r="2" spans="1:7" s="98" customFormat="1" ht="15" customHeight="1">
      <c r="A2" s="425"/>
      <c r="B2" s="426"/>
      <c r="C2" s="426"/>
      <c r="D2" s="426"/>
      <c r="E2" s="426"/>
      <c r="F2" s="426"/>
      <c r="G2" s="427"/>
    </row>
    <row r="3" spans="1:7" ht="15" customHeight="1">
      <c r="A3" s="840" t="s">
        <v>221</v>
      </c>
      <c r="B3" s="841"/>
      <c r="C3" s="841"/>
      <c r="D3" s="841"/>
      <c r="E3" s="841"/>
      <c r="F3" s="841"/>
      <c r="G3" s="842"/>
    </row>
    <row r="4" spans="1:7" ht="15" customHeight="1">
      <c r="A4" s="840" t="s">
        <v>281</v>
      </c>
      <c r="B4" s="841"/>
      <c r="C4" s="841"/>
      <c r="D4" s="841"/>
      <c r="E4" s="841"/>
      <c r="F4" s="841"/>
      <c r="G4" s="842"/>
    </row>
    <row r="5" spans="1:7" s="14" customFormat="1" ht="15" customHeight="1">
      <c r="A5" s="429"/>
      <c r="B5" s="430"/>
      <c r="C5" s="430"/>
      <c r="D5" s="430"/>
      <c r="E5" s="430"/>
      <c r="F5" s="430"/>
      <c r="G5" s="430"/>
    </row>
    <row r="6" spans="2:7" s="14" customFormat="1" ht="30" customHeight="1">
      <c r="B6" s="875" t="s">
        <v>337</v>
      </c>
      <c r="C6" s="875" t="s">
        <v>331</v>
      </c>
      <c r="D6" s="875" t="s">
        <v>351</v>
      </c>
      <c r="E6" s="875" t="s">
        <v>330</v>
      </c>
      <c r="F6" s="876" t="s">
        <v>338</v>
      </c>
      <c r="G6" s="878" t="s">
        <v>99</v>
      </c>
    </row>
    <row r="7" spans="1:7" s="14" customFormat="1" ht="15" customHeight="1">
      <c r="A7" s="431" t="s">
        <v>430</v>
      </c>
      <c r="B7" s="430"/>
      <c r="C7" s="430"/>
      <c r="D7" s="430"/>
      <c r="E7" s="430"/>
      <c r="F7" s="430"/>
      <c r="G7" s="430"/>
    </row>
    <row r="8" spans="1:7" s="14" customFormat="1" ht="15" customHeight="1">
      <c r="A8" s="432" t="s">
        <v>222</v>
      </c>
      <c r="B8" s="372"/>
      <c r="C8" s="372"/>
      <c r="D8" s="372"/>
      <c r="E8" s="372"/>
      <c r="F8" s="372"/>
      <c r="G8" s="372"/>
    </row>
    <row r="9" spans="1:7" s="99" customFormat="1" ht="15" customHeight="1">
      <c r="A9" s="371" t="s">
        <v>309</v>
      </c>
      <c r="B9" s="476">
        <f>-'[11]3Q08 Trial Balance'!E227</f>
        <v>8655601</v>
      </c>
      <c r="C9" s="907">
        <f>-'[11]3Q08 Trial Balance'!E223</f>
        <v>-18090</v>
      </c>
      <c r="D9" s="907">
        <f>-'[11]3Q08 Trial Balance'!E220</f>
        <v>-6084</v>
      </c>
      <c r="E9" s="589">
        <v>0</v>
      </c>
      <c r="F9" s="589">
        <v>0</v>
      </c>
      <c r="G9" s="476">
        <f>SUM(B9:F9)</f>
        <v>8631427</v>
      </c>
    </row>
    <row r="10" spans="1:7" s="14" customFormat="1" ht="15" customHeight="1">
      <c r="A10" s="371" t="s">
        <v>236</v>
      </c>
      <c r="B10" s="126">
        <f>-'[11]3Q08 Trial Balance'!E228</f>
        <v>2644549</v>
      </c>
      <c r="C10" s="910">
        <f>-'[11]3Q08 Trial Balance'!E224</f>
        <v>-9490</v>
      </c>
      <c r="D10" s="910">
        <f>-'[11]3Q08 Trial Balance'!E221</f>
        <v>-3209</v>
      </c>
      <c r="E10" s="126">
        <v>0</v>
      </c>
      <c r="F10" s="126">
        <v>0</v>
      </c>
      <c r="G10" s="485">
        <f>SUM(B10:F10)</f>
        <v>2631850</v>
      </c>
    </row>
    <row r="11" spans="1:7" s="14" customFormat="1" ht="15" customHeight="1">
      <c r="A11" s="371" t="s">
        <v>237</v>
      </c>
      <c r="B11" s="126">
        <f>-'[11]3Q08 Trial Balance'!E229</f>
        <v>32729</v>
      </c>
      <c r="C11" s="910">
        <f>-'[11]3Q08 Trial Balance'!E225</f>
        <v>-668</v>
      </c>
      <c r="D11" s="126">
        <v>0</v>
      </c>
      <c r="E11" s="126">
        <v>0</v>
      </c>
      <c r="F11" s="126">
        <v>0</v>
      </c>
      <c r="G11" s="485">
        <f>SUM(B11:F11)</f>
        <v>32061</v>
      </c>
    </row>
    <row r="12" spans="1:7" s="24" customFormat="1" ht="15" customHeight="1" thickBot="1">
      <c r="A12" s="433" t="s">
        <v>226</v>
      </c>
      <c r="B12" s="138">
        <f aca="true" t="shared" si="0" ref="B12:G12">SUM(B9:B11)</f>
        <v>11332879</v>
      </c>
      <c r="C12" s="917">
        <f t="shared" si="0"/>
        <v>-28248</v>
      </c>
      <c r="D12" s="917">
        <f t="shared" si="0"/>
        <v>-9293</v>
      </c>
      <c r="E12" s="138">
        <f t="shared" si="0"/>
        <v>0</v>
      </c>
      <c r="F12" s="138">
        <f t="shared" si="0"/>
        <v>0</v>
      </c>
      <c r="G12" s="767">
        <f t="shared" si="0"/>
        <v>11295338</v>
      </c>
    </row>
    <row r="13" spans="1:7" s="24" customFormat="1" ht="15" customHeight="1" thickTop="1">
      <c r="A13" s="371"/>
      <c r="B13" s="126"/>
      <c r="C13" s="126"/>
      <c r="D13" s="126"/>
      <c r="E13" s="126"/>
      <c r="F13" s="126"/>
      <c r="G13" s="256"/>
    </row>
    <row r="14" spans="1:7" s="24" customFormat="1" ht="30" customHeight="1">
      <c r="A14" s="432" t="s">
        <v>287</v>
      </c>
      <c r="B14" s="126"/>
      <c r="C14" s="126"/>
      <c r="D14" s="126"/>
      <c r="E14" s="126"/>
      <c r="F14" s="126"/>
      <c r="G14" s="126"/>
    </row>
    <row r="15" spans="1:7" s="24" customFormat="1" ht="15" customHeight="1">
      <c r="A15" s="371" t="s">
        <v>309</v>
      </c>
      <c r="B15" s="126">
        <f>-'[11]3Q08 Trial Balance'!E69</f>
        <v>5368384</v>
      </c>
      <c r="C15" s="126">
        <f>-'[11]3Q08 Trial Balance'!E65</f>
        <v>367843</v>
      </c>
      <c r="D15" s="589">
        <v>0</v>
      </c>
      <c r="E15" s="589">
        <v>0</v>
      </c>
      <c r="F15" s="589">
        <v>0</v>
      </c>
      <c r="G15" s="485">
        <f>SUM(B15:F15)</f>
        <v>5736227</v>
      </c>
    </row>
    <row r="16" spans="1:7" s="24" customFormat="1" ht="15" customHeight="1">
      <c r="A16" s="371" t="s">
        <v>367</v>
      </c>
      <c r="B16" s="126">
        <f>-'[11]3Q08 Trial Balance'!E70</f>
        <v>1660754</v>
      </c>
      <c r="C16" s="126">
        <f>-'[11]3Q08 Trial Balance'!E66</f>
        <v>107915</v>
      </c>
      <c r="D16" s="126">
        <v>0</v>
      </c>
      <c r="E16" s="126">
        <v>0</v>
      </c>
      <c r="F16" s="126">
        <v>0</v>
      </c>
      <c r="G16" s="485">
        <f>SUM(B16:F16)</f>
        <v>1768669</v>
      </c>
    </row>
    <row r="17" spans="1:7" s="24" customFormat="1" ht="15" customHeight="1">
      <c r="A17" s="371" t="s">
        <v>249</v>
      </c>
      <c r="B17" s="126">
        <f>-'[11]3Q08 Trial Balance'!E71</f>
        <v>21546</v>
      </c>
      <c r="C17" s="126">
        <f>-'[11]3Q08 Trial Balance'!E67</f>
        <v>936</v>
      </c>
      <c r="D17" s="126">
        <v>0</v>
      </c>
      <c r="E17" s="126">
        <v>0</v>
      </c>
      <c r="F17" s="126">
        <v>0</v>
      </c>
      <c r="G17" s="766">
        <f>SUM(B17:F17)</f>
        <v>22482</v>
      </c>
    </row>
    <row r="18" spans="1:7" s="24" customFormat="1" ht="15" customHeight="1" thickBot="1">
      <c r="A18" s="433" t="s">
        <v>226</v>
      </c>
      <c r="B18" s="138">
        <f>SUM(B15:B17)</f>
        <v>7050684</v>
      </c>
      <c r="C18" s="138">
        <f>SUM(C15:C17)</f>
        <v>476694</v>
      </c>
      <c r="D18" s="138">
        <f>SUM(D15:D17)</f>
        <v>0</v>
      </c>
      <c r="E18" s="138">
        <f>SUM(E15:E17)</f>
        <v>0</v>
      </c>
      <c r="F18" s="138">
        <v>0</v>
      </c>
      <c r="G18" s="767">
        <f>SUM(G15:G17)</f>
        <v>7527378</v>
      </c>
    </row>
    <row r="19" spans="1:7" s="24" customFormat="1" ht="15" customHeight="1" thickTop="1">
      <c r="A19" s="371"/>
      <c r="B19" s="126"/>
      <c r="C19" s="126"/>
      <c r="D19" s="126"/>
      <c r="E19" s="126"/>
      <c r="F19" s="126"/>
      <c r="G19" s="256"/>
    </row>
    <row r="20" spans="1:7" s="24" customFormat="1" ht="30" customHeight="1">
      <c r="A20" s="432" t="s">
        <v>341</v>
      </c>
      <c r="B20" s="312"/>
      <c r="C20" s="312"/>
      <c r="D20" s="312"/>
      <c r="E20" s="312"/>
      <c r="F20" s="126"/>
      <c r="G20" s="126"/>
    </row>
    <row r="21" spans="1:7" s="24" customFormat="1" ht="15" customHeight="1">
      <c r="A21" s="371" t="s">
        <v>309</v>
      </c>
      <c r="B21" s="126">
        <v>0</v>
      </c>
      <c r="C21" s="126">
        <v>6477918.17</v>
      </c>
      <c r="D21" s="589">
        <v>0</v>
      </c>
      <c r="E21" s="589">
        <v>0</v>
      </c>
      <c r="F21" s="589">
        <v>0</v>
      </c>
      <c r="G21" s="485">
        <f>SUM(B21:F21)</f>
        <v>6477918.17</v>
      </c>
    </row>
    <row r="22" spans="1:7" s="24" customFormat="1" ht="15" customHeight="1">
      <c r="A22" s="371" t="s">
        <v>236</v>
      </c>
      <c r="B22" s="126">
        <v>0</v>
      </c>
      <c r="C22" s="126">
        <v>1910019.65</v>
      </c>
      <c r="D22" s="126">
        <v>0</v>
      </c>
      <c r="E22" s="126">
        <v>0</v>
      </c>
      <c r="F22" s="126">
        <v>0</v>
      </c>
      <c r="G22" s="485">
        <f>SUM(B22:F22)</f>
        <v>1910019.65</v>
      </c>
    </row>
    <row r="23" spans="1:7" s="24" customFormat="1" ht="15" customHeight="1">
      <c r="A23" s="371" t="s">
        <v>237</v>
      </c>
      <c r="B23" s="126">
        <v>0</v>
      </c>
      <c r="C23" s="126">
        <v>19195.03</v>
      </c>
      <c r="D23" s="126">
        <v>0</v>
      </c>
      <c r="E23" s="126">
        <v>0</v>
      </c>
      <c r="F23" s="126">
        <v>0</v>
      </c>
      <c r="G23" s="485">
        <f>SUM(B23:F23)</f>
        <v>19195.03</v>
      </c>
    </row>
    <row r="24" spans="1:7" s="24" customFormat="1" ht="15" customHeight="1" thickBot="1">
      <c r="A24" s="433" t="s">
        <v>226</v>
      </c>
      <c r="B24" s="138">
        <f>SUM(B21:B23)</f>
        <v>0</v>
      </c>
      <c r="C24" s="138">
        <f>SUM(C21:C23)</f>
        <v>8407132.85</v>
      </c>
      <c r="D24" s="138">
        <f>SUM(D21:D23)</f>
        <v>0</v>
      </c>
      <c r="E24" s="138">
        <f>SUM(E21:E23)</f>
        <v>0</v>
      </c>
      <c r="F24" s="138">
        <f>SUM(F21:F23)</f>
        <v>0</v>
      </c>
      <c r="G24" s="129">
        <f>SUM(C24:F24)</f>
        <v>8407132.85</v>
      </c>
    </row>
    <row r="25" spans="1:7" s="782" customFormat="1" ht="15" customHeight="1" thickTop="1">
      <c r="A25" s="434"/>
      <c r="B25" s="126"/>
      <c r="C25" s="126"/>
      <c r="D25" s="126"/>
      <c r="E25" s="843"/>
      <c r="F25" s="126"/>
      <c r="G25" s="781"/>
    </row>
    <row r="26" spans="1:7" s="24" customFormat="1" ht="15" customHeight="1">
      <c r="A26" s="432" t="s">
        <v>227</v>
      </c>
      <c r="B26" s="126"/>
      <c r="C26" s="126"/>
      <c r="D26" s="126"/>
      <c r="E26" s="126"/>
      <c r="F26" s="126"/>
      <c r="G26" s="126"/>
    </row>
    <row r="27" spans="1:7" s="24" customFormat="1" ht="15" customHeight="1">
      <c r="A27" s="371" t="s">
        <v>309</v>
      </c>
      <c r="B27" s="126">
        <f aca="true" t="shared" si="1" ref="B27:F29">B9-(B15-B21)</f>
        <v>3287217</v>
      </c>
      <c r="C27" s="126">
        <f t="shared" si="1"/>
        <v>6091985.17</v>
      </c>
      <c r="D27" s="910">
        <f t="shared" si="1"/>
        <v>-6084</v>
      </c>
      <c r="E27" s="126">
        <f t="shared" si="1"/>
        <v>0</v>
      </c>
      <c r="F27" s="126">
        <f t="shared" si="1"/>
        <v>0</v>
      </c>
      <c r="G27" s="485">
        <f>SUM(B27:F27)</f>
        <v>9373118.17</v>
      </c>
    </row>
    <row r="28" spans="1:7" s="24" customFormat="1" ht="15" customHeight="1">
      <c r="A28" s="371" t="s">
        <v>236</v>
      </c>
      <c r="B28" s="126">
        <f t="shared" si="1"/>
        <v>983795</v>
      </c>
      <c r="C28" s="126">
        <f t="shared" si="1"/>
        <v>1792614.65</v>
      </c>
      <c r="D28" s="910">
        <f t="shared" si="1"/>
        <v>-3209</v>
      </c>
      <c r="E28" s="126">
        <f t="shared" si="1"/>
        <v>0</v>
      </c>
      <c r="F28" s="126">
        <f t="shared" si="1"/>
        <v>0</v>
      </c>
      <c r="G28" s="485">
        <f>SUM(B28:F28)</f>
        <v>2773200.65</v>
      </c>
    </row>
    <row r="29" spans="1:7" s="24" customFormat="1" ht="15" customHeight="1">
      <c r="A29" s="435" t="s">
        <v>237</v>
      </c>
      <c r="B29" s="485">
        <f t="shared" si="1"/>
        <v>11183</v>
      </c>
      <c r="C29" s="485">
        <f t="shared" si="1"/>
        <v>17591.03</v>
      </c>
      <c r="D29" s="485">
        <f t="shared" si="1"/>
        <v>0</v>
      </c>
      <c r="E29" s="485">
        <f t="shared" si="1"/>
        <v>0</v>
      </c>
      <c r="F29" s="126">
        <f t="shared" si="1"/>
        <v>0</v>
      </c>
      <c r="G29" s="485">
        <f>SUM(B29:F29)</f>
        <v>28774.03</v>
      </c>
    </row>
    <row r="30" spans="1:7" s="24" customFormat="1" ht="15" customHeight="1" thickBot="1">
      <c r="A30" s="433" t="s">
        <v>226</v>
      </c>
      <c r="B30" s="544">
        <f aca="true" t="shared" si="2" ref="B30:G30">SUM(B27:B29)</f>
        <v>4282195</v>
      </c>
      <c r="C30" s="544">
        <f t="shared" si="2"/>
        <v>7902190.850000001</v>
      </c>
      <c r="D30" s="916">
        <f t="shared" si="2"/>
        <v>-9293</v>
      </c>
      <c r="E30" s="902">
        <f t="shared" si="2"/>
        <v>0</v>
      </c>
      <c r="F30" s="902">
        <f t="shared" si="2"/>
        <v>0</v>
      </c>
      <c r="G30" s="544">
        <f t="shared" si="2"/>
        <v>12175092.85</v>
      </c>
    </row>
    <row r="31" spans="1:7" s="24" customFormat="1" ht="15" customHeight="1" thickTop="1">
      <c r="A31" s="433"/>
      <c r="B31" s="477"/>
      <c r="C31" s="477"/>
      <c r="D31" s="477"/>
      <c r="E31" s="786"/>
      <c r="F31" s="786"/>
      <c r="G31" s="477"/>
    </row>
    <row r="32" spans="1:7" s="787" customFormat="1" ht="15" customHeight="1">
      <c r="A32" s="998" t="s">
        <v>288</v>
      </c>
      <c r="B32" s="998"/>
      <c r="C32" s="998"/>
      <c r="D32" s="998"/>
      <c r="E32" s="998"/>
      <c r="F32" s="998"/>
      <c r="G32" s="998"/>
    </row>
    <row r="33" spans="1:7" s="787" customFormat="1" ht="15" customHeight="1">
      <c r="A33" s="998"/>
      <c r="B33" s="998"/>
      <c r="C33" s="998"/>
      <c r="D33" s="998"/>
      <c r="E33" s="998"/>
      <c r="F33" s="998"/>
      <c r="G33" s="998"/>
    </row>
    <row r="34" spans="1:7" s="787" customFormat="1" ht="15" customHeight="1">
      <c r="A34" s="998"/>
      <c r="B34" s="998"/>
      <c r="C34" s="998"/>
      <c r="D34" s="998"/>
      <c r="E34" s="998"/>
      <c r="F34" s="998"/>
      <c r="G34" s="998"/>
    </row>
    <row r="35" spans="1:7" ht="19.5" customHeight="1">
      <c r="A35" s="135"/>
      <c r="B35" s="999" t="s">
        <v>297</v>
      </c>
      <c r="C35" s="999" t="s">
        <v>324</v>
      </c>
      <c r="D35" s="135"/>
      <c r="E35" s="844"/>
      <c r="F35" s="999" t="s">
        <v>297</v>
      </c>
      <c r="G35" s="999" t="s">
        <v>324</v>
      </c>
    </row>
    <row r="36" spans="1:7" ht="19.5" customHeight="1">
      <c r="A36" s="845" t="s">
        <v>164</v>
      </c>
      <c r="B36" s="999"/>
      <c r="C36" s="999"/>
      <c r="D36" s="135"/>
      <c r="E36" s="846" t="s">
        <v>164</v>
      </c>
      <c r="F36" s="999"/>
      <c r="G36" s="999"/>
    </row>
    <row r="37" spans="1:8" ht="15" customHeight="1">
      <c r="A37" s="847" t="s">
        <v>342</v>
      </c>
      <c r="B37" s="847">
        <v>1685853.65</v>
      </c>
      <c r="C37" s="847">
        <v>2058917.12</v>
      </c>
      <c r="D37" s="896" t="s">
        <v>343</v>
      </c>
      <c r="E37" s="847">
        <v>308798.42</v>
      </c>
      <c r="F37" s="847">
        <v>1352322.33</v>
      </c>
      <c r="G37" s="847">
        <f>E37+F37</f>
        <v>1661120.75</v>
      </c>
      <c r="H37" s="4"/>
    </row>
    <row r="38" spans="1:8" ht="15" customHeight="1">
      <c r="A38" s="847" t="s">
        <v>344</v>
      </c>
      <c r="B38" s="847">
        <v>1607900.14</v>
      </c>
      <c r="C38" s="847">
        <v>1960976.65</v>
      </c>
      <c r="D38" s="896" t="s">
        <v>336</v>
      </c>
      <c r="E38" s="847">
        <v>290256.55</v>
      </c>
      <c r="F38" s="847">
        <v>1298046.26</v>
      </c>
      <c r="G38" s="847">
        <f>E38+F38</f>
        <v>1588302.81</v>
      </c>
      <c r="H38" s="4"/>
    </row>
    <row r="39" spans="1:8" ht="15" customHeight="1">
      <c r="A39" s="847" t="s">
        <v>345</v>
      </c>
      <c r="B39" s="847">
        <v>1538293.65</v>
      </c>
      <c r="C39" s="847">
        <v>1874884.5</v>
      </c>
      <c r="D39" s="896" t="s">
        <v>289</v>
      </c>
      <c r="E39" s="847">
        <v>275833</v>
      </c>
      <c r="F39" s="847">
        <v>1251408.19</v>
      </c>
      <c r="G39" s="847">
        <f>E39+F39</f>
        <v>1527241.19</v>
      </c>
      <c r="H39" s="4"/>
    </row>
    <row r="40" spans="1:8" ht="15" customHeight="1">
      <c r="A40" s="847" t="s">
        <v>346</v>
      </c>
      <c r="B40" s="847">
        <v>1441429.82</v>
      </c>
      <c r="C40" s="847">
        <v>1763006.92</v>
      </c>
      <c r="D40" s="896"/>
      <c r="E40" s="847"/>
      <c r="F40" s="847"/>
      <c r="G40" s="847"/>
      <c r="H40" s="4"/>
    </row>
    <row r="41" spans="1:7" s="135" customFormat="1" ht="15" customHeight="1">
      <c r="A41" s="848"/>
      <c r="B41" s="849"/>
      <c r="C41" s="849"/>
      <c r="D41" s="849"/>
      <c r="E41" s="848"/>
      <c r="F41" s="850"/>
      <c r="G41" s="850"/>
    </row>
    <row r="42" spans="1:7" s="135" customFormat="1" ht="15" customHeight="1">
      <c r="A42" s="998" t="s">
        <v>300</v>
      </c>
      <c r="B42" s="998"/>
      <c r="C42" s="998"/>
      <c r="D42" s="998"/>
      <c r="E42" s="998"/>
      <c r="F42" s="998"/>
      <c r="G42" s="998"/>
    </row>
    <row r="43" spans="1:7" s="135" customFormat="1" ht="15" customHeight="1">
      <c r="A43" s="998"/>
      <c r="B43" s="998"/>
      <c r="C43" s="998"/>
      <c r="D43" s="998"/>
      <c r="E43" s="998"/>
      <c r="F43" s="998"/>
      <c r="G43" s="998"/>
    </row>
    <row r="44" spans="1:7" s="135" customFormat="1" ht="15" customHeight="1">
      <c r="A44" s="848"/>
      <c r="B44" s="849"/>
      <c r="C44" s="849"/>
      <c r="D44" s="849"/>
      <c r="E44" s="848"/>
      <c r="F44" s="850"/>
      <c r="G44" s="850"/>
    </row>
    <row r="45" spans="1:7" s="135" customFormat="1" ht="15" customHeight="1">
      <c r="A45" s="848"/>
      <c r="B45" s="849"/>
      <c r="C45" s="849"/>
      <c r="D45" s="849"/>
      <c r="E45" s="848"/>
      <c r="F45" s="850"/>
      <c r="G45" s="850"/>
    </row>
    <row r="46" spans="1:7" s="135" customFormat="1" ht="15" customHeight="1">
      <c r="A46" s="848"/>
      <c r="B46" s="849"/>
      <c r="C46" s="849"/>
      <c r="D46" s="849"/>
      <c r="E46" s="848"/>
      <c r="F46" s="850"/>
      <c r="G46" s="850"/>
    </row>
    <row r="47" spans="1:7" s="135" customFormat="1" ht="15" customHeight="1">
      <c r="A47" s="848"/>
      <c r="B47" s="849"/>
      <c r="C47" s="849"/>
      <c r="D47" s="849"/>
      <c r="E47" s="848"/>
      <c r="F47" s="850"/>
      <c r="G47" s="850"/>
    </row>
    <row r="48" spans="1:7" s="135" customFormat="1" ht="15" customHeight="1">
      <c r="A48" s="848"/>
      <c r="B48" s="849"/>
      <c r="C48" s="849"/>
      <c r="D48" s="849"/>
      <c r="E48" s="848"/>
      <c r="F48" s="850"/>
      <c r="G48" s="850"/>
    </row>
    <row r="49" spans="1:7" s="135" customFormat="1" ht="15" customHeight="1">
      <c r="A49" s="848"/>
      <c r="B49" s="849"/>
      <c r="C49" s="849"/>
      <c r="D49" s="849"/>
      <c r="E49" s="848"/>
      <c r="F49" s="850"/>
      <c r="G49" s="850"/>
    </row>
    <row r="50" spans="1:7" s="135" customFormat="1" ht="15" customHeight="1">
      <c r="A50" s="848"/>
      <c r="B50" s="849"/>
      <c r="C50" s="849"/>
      <c r="D50" s="849"/>
      <c r="E50" s="848"/>
      <c r="F50" s="850"/>
      <c r="G50" s="850"/>
    </row>
    <row r="51" spans="1:7" s="135" customFormat="1" ht="15" customHeight="1">
      <c r="A51" s="848"/>
      <c r="B51" s="849"/>
      <c r="C51" s="849"/>
      <c r="D51" s="849"/>
      <c r="E51" s="848"/>
      <c r="F51" s="850"/>
      <c r="G51" s="850"/>
    </row>
    <row r="52" spans="1:7" s="135" customFormat="1" ht="15" customHeight="1">
      <c r="A52" s="848"/>
      <c r="B52" s="849"/>
      <c r="C52" s="849"/>
      <c r="D52" s="849"/>
      <c r="E52" s="848"/>
      <c r="F52" s="850"/>
      <c r="G52" s="850"/>
    </row>
    <row r="53" spans="1:7" s="135" customFormat="1" ht="15" customHeight="1">
      <c r="A53" s="848"/>
      <c r="B53" s="849"/>
      <c r="C53" s="849"/>
      <c r="D53" s="849"/>
      <c r="E53" s="848"/>
      <c r="F53" s="850"/>
      <c r="G53" s="850"/>
    </row>
    <row r="54" spans="1:7" s="135" customFormat="1" ht="15" customHeight="1">
      <c r="A54" s="848"/>
      <c r="B54" s="849"/>
      <c r="C54" s="849"/>
      <c r="D54" s="849"/>
      <c r="E54" s="848"/>
      <c r="F54" s="850"/>
      <c r="G54" s="850"/>
    </row>
    <row r="55" spans="1:7" s="135" customFormat="1" ht="15" customHeight="1">
      <c r="A55" s="848"/>
      <c r="B55" s="849"/>
      <c r="C55" s="849"/>
      <c r="D55" s="849"/>
      <c r="E55" s="848"/>
      <c r="F55" s="850"/>
      <c r="G55" s="850"/>
    </row>
    <row r="56" spans="1:7" s="135" customFormat="1" ht="15" customHeight="1">
      <c r="A56" s="848"/>
      <c r="B56" s="849"/>
      <c r="C56" s="849"/>
      <c r="D56" s="849"/>
      <c r="E56" s="848"/>
      <c r="F56" s="850"/>
      <c r="G56" s="850"/>
    </row>
    <row r="57" spans="1:7" s="135" customFormat="1" ht="15" customHeight="1">
      <c r="A57" s="848"/>
      <c r="B57" s="849"/>
      <c r="C57" s="849"/>
      <c r="D57" s="849"/>
      <c r="E57" s="848"/>
      <c r="F57" s="850"/>
      <c r="G57" s="850"/>
    </row>
    <row r="58" spans="1:7" s="135" customFormat="1" ht="15" customHeight="1">
      <c r="A58" s="848"/>
      <c r="B58" s="849"/>
      <c r="C58" s="849"/>
      <c r="D58" s="849"/>
      <c r="E58" s="848"/>
      <c r="F58" s="850"/>
      <c r="G58" s="850"/>
    </row>
  </sheetData>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9.140625" defaultRowHeight="15" customHeight="1"/>
  <cols>
    <col min="1" max="1" width="59.00390625" style="893" customWidth="1"/>
    <col min="2" max="4" width="16.7109375" style="565" customWidth="1"/>
    <col min="5" max="7" width="16.7109375" style="566" customWidth="1"/>
    <col min="8" max="16384" width="15.7109375" style="340" customWidth="1"/>
  </cols>
  <sheetData>
    <row r="1" spans="1:7" s="363" customFormat="1" ht="24.75" customHeight="1">
      <c r="A1" s="1000" t="s">
        <v>98</v>
      </c>
      <c r="B1" s="1000"/>
      <c r="C1" s="1000"/>
      <c r="D1" s="1000"/>
      <c r="E1" s="1000"/>
      <c r="F1" s="1000"/>
      <c r="G1" s="1000"/>
    </row>
    <row r="2" spans="1:7" s="166" customFormat="1" ht="15" customHeight="1">
      <c r="A2" s="889"/>
      <c r="B2" s="851"/>
      <c r="C2" s="851"/>
      <c r="D2" s="851"/>
      <c r="E2" s="851"/>
      <c r="F2" s="851"/>
      <c r="G2" s="851"/>
    </row>
    <row r="3" spans="1:7" s="167" customFormat="1" ht="15" customHeight="1">
      <c r="A3" s="1001" t="s">
        <v>232</v>
      </c>
      <c r="B3" s="1001"/>
      <c r="C3" s="1001"/>
      <c r="D3" s="1001"/>
      <c r="E3" s="1001"/>
      <c r="F3" s="1001"/>
      <c r="G3" s="1001"/>
    </row>
    <row r="4" spans="1:7" s="167" customFormat="1" ht="15" customHeight="1">
      <c r="A4" s="1001" t="s">
        <v>279</v>
      </c>
      <c r="B4" s="1001"/>
      <c r="C4" s="1001"/>
      <c r="D4" s="1001"/>
      <c r="E4" s="1001"/>
      <c r="F4" s="1001"/>
      <c r="G4" s="1001"/>
    </row>
    <row r="5" spans="1:7" s="364" customFormat="1" ht="15" customHeight="1">
      <c r="A5" s="889"/>
      <c r="B5" s="564"/>
      <c r="C5" s="564"/>
      <c r="D5" s="564"/>
      <c r="E5" s="851"/>
      <c r="F5" s="851"/>
      <c r="G5" s="851"/>
    </row>
    <row r="6" spans="2:7" ht="30" customHeight="1">
      <c r="B6" s="875" t="s">
        <v>337</v>
      </c>
      <c r="C6" s="875" t="s">
        <v>331</v>
      </c>
      <c r="D6" s="875" t="s">
        <v>351</v>
      </c>
      <c r="E6" s="875" t="s">
        <v>330</v>
      </c>
      <c r="F6" s="876" t="s">
        <v>338</v>
      </c>
      <c r="G6" s="875" t="s">
        <v>99</v>
      </c>
    </row>
    <row r="7" spans="1:7" ht="15" customHeight="1">
      <c r="A7" s="890" t="s">
        <v>233</v>
      </c>
      <c r="B7" s="852"/>
      <c r="C7" s="852"/>
      <c r="D7" s="852"/>
      <c r="E7" s="852"/>
      <c r="F7" s="852"/>
      <c r="G7" s="852"/>
    </row>
    <row r="8" spans="1:7" ht="15" customHeight="1">
      <c r="A8" s="890" t="s">
        <v>352</v>
      </c>
      <c r="B8" s="853"/>
      <c r="C8" s="853"/>
      <c r="D8" s="853"/>
      <c r="E8" s="853"/>
      <c r="F8" s="853"/>
      <c r="G8" s="853"/>
    </row>
    <row r="9" spans="1:7" ht="15" customHeight="1">
      <c r="A9" s="891" t="s">
        <v>235</v>
      </c>
      <c r="B9" s="935">
        <f>'[12]Loss Expenses Paid QTD-15'!E33</f>
        <v>638407</v>
      </c>
      <c r="C9" s="937">
        <f>'[12]Loss Expenses Paid QTD-15'!E27</f>
        <v>968867</v>
      </c>
      <c r="D9" s="935">
        <f>'[12]Loss Expenses Paid QTD-15'!E21+'[11]3Q08 Trial Balance'!D289</f>
        <v>-35728</v>
      </c>
      <c r="E9" s="935">
        <f>'[12]Loss Expenses Paid QTD-15'!E15+'[11]3Q08 Trial Balance'!D287</f>
        <v>-4116</v>
      </c>
      <c r="F9" s="935">
        <f>'[12]Loss Expenses Paid QTD-15'!E9+'[11]3Q08 Trial Balance'!D285</f>
        <v>-1732</v>
      </c>
      <c r="G9" s="476">
        <f>SUM(B9:F9)</f>
        <v>1565698</v>
      </c>
    </row>
    <row r="10" spans="1:7" ht="15" customHeight="1">
      <c r="A10" s="891" t="s">
        <v>236</v>
      </c>
      <c r="B10" s="854">
        <f>'[12]Loss Expenses Paid QTD-15'!E34</f>
        <v>87609</v>
      </c>
      <c r="C10" s="854">
        <f>'[12]Loss Expenses Paid QTD-15'!E28+'[11]3Q08 Trial Balance'!C291</f>
        <v>337058</v>
      </c>
      <c r="D10" s="854">
        <f>'[12]Loss Expenses Paid QTD-15'!E22</f>
        <v>0</v>
      </c>
      <c r="E10" s="911">
        <f>'[12]Loss Expenses Paid QTD-15'!E16</f>
        <v>-1773</v>
      </c>
      <c r="F10" s="854">
        <f>'[12]Loss Expenses Paid QTD-15'!E10</f>
        <v>29000</v>
      </c>
      <c r="G10" s="854">
        <f>SUM(B10:F10)</f>
        <v>451894</v>
      </c>
    </row>
    <row r="11" spans="1:7" ht="15" customHeight="1">
      <c r="A11" s="891" t="s">
        <v>237</v>
      </c>
      <c r="B11" s="854">
        <f>'[12]Loss Expenses Paid QTD-15'!E35</f>
        <v>0</v>
      </c>
      <c r="C11" s="854">
        <f>'[12]Loss Expenses Paid QTD-15'!E29</f>
        <v>0</v>
      </c>
      <c r="D11" s="854">
        <f>'[12]Loss Expenses Paid QTD-15'!E23</f>
        <v>0</v>
      </c>
      <c r="E11" s="854">
        <f>'[12]Loss Expenses Paid QTD-15'!E17</f>
        <v>0</v>
      </c>
      <c r="F11" s="854">
        <f>'[12]Loss Expenses Paid QTD-15'!E11</f>
        <v>0</v>
      </c>
      <c r="G11" s="854">
        <f>SUM(B11:F11)</f>
        <v>0</v>
      </c>
    </row>
    <row r="12" spans="1:7" ht="15" customHeight="1" thickBot="1">
      <c r="A12" s="892" t="s">
        <v>226</v>
      </c>
      <c r="B12" s="829">
        <f aca="true" t="shared" si="0" ref="B12:G12">SUM(B9:B11)</f>
        <v>726016</v>
      </c>
      <c r="C12" s="829">
        <f t="shared" si="0"/>
        <v>1305925</v>
      </c>
      <c r="D12" s="914">
        <f t="shared" si="0"/>
        <v>-35728</v>
      </c>
      <c r="E12" s="912">
        <f t="shared" si="0"/>
        <v>-5889</v>
      </c>
      <c r="F12" s="912">
        <f t="shared" si="0"/>
        <v>27268</v>
      </c>
      <c r="G12" s="895">
        <f t="shared" si="0"/>
        <v>2017592</v>
      </c>
    </row>
    <row r="13" spans="1:7" ht="15" customHeight="1" thickTop="1">
      <c r="A13" s="890"/>
      <c r="B13" s="857"/>
      <c r="C13" s="857"/>
      <c r="D13" s="857"/>
      <c r="E13" s="854"/>
      <c r="F13" s="854"/>
      <c r="G13" s="854"/>
    </row>
    <row r="14" spans="1:7" ht="15" customHeight="1">
      <c r="A14" s="890" t="s">
        <v>284</v>
      </c>
      <c r="B14" s="857"/>
      <c r="C14" s="857"/>
      <c r="D14" s="857"/>
      <c r="E14" s="854"/>
      <c r="F14" s="854"/>
      <c r="G14" s="854"/>
    </row>
    <row r="15" spans="1:7" ht="15" customHeight="1">
      <c r="A15" s="891" t="s">
        <v>238</v>
      </c>
      <c r="B15" s="854">
        <f>'Losses Incurred YTD-10'!B15</f>
        <v>664518</v>
      </c>
      <c r="C15" s="854">
        <f>'Losses Incurred YTD-10'!C15</f>
        <v>1248157</v>
      </c>
      <c r="D15" s="854">
        <f>'Losses Incurred YTD-10'!D15</f>
        <v>98727</v>
      </c>
      <c r="E15" s="854">
        <f>'Losses Incurred YTD-10'!E15</f>
        <v>51005</v>
      </c>
      <c r="F15" s="854">
        <f>'Losses Incurred YTD-10'!F15</f>
        <v>68981</v>
      </c>
      <c r="G15" s="854">
        <f>SUM(B15:F15)</f>
        <v>2131388</v>
      </c>
    </row>
    <row r="16" spans="1:7" ht="15" customHeight="1">
      <c r="A16" s="891" t="s">
        <v>239</v>
      </c>
      <c r="B16" s="854">
        <f>'Losses Incurred YTD-10'!B16</f>
        <v>62897</v>
      </c>
      <c r="C16" s="854">
        <f>'Losses Incurred YTD-10'!C16</f>
        <v>119627</v>
      </c>
      <c r="D16" s="854">
        <f>'Losses Incurred YTD-10'!D16</f>
        <v>3000</v>
      </c>
      <c r="E16" s="854">
        <f>'Losses Incurred YTD-10'!E16</f>
        <v>5301</v>
      </c>
      <c r="F16" s="854">
        <f>'Losses Incurred YTD-10'!F16</f>
        <v>1000</v>
      </c>
      <c r="G16" s="854">
        <f>SUM(B16:F16)</f>
        <v>191825</v>
      </c>
    </row>
    <row r="17" spans="1:7" ht="15" customHeight="1">
      <c r="A17" s="891" t="s">
        <v>240</v>
      </c>
      <c r="B17" s="854">
        <f>'Losses Incurred YTD-10'!B17</f>
        <v>0</v>
      </c>
      <c r="C17" s="854">
        <f>'Losses Incurred YTD-10'!C17</f>
        <v>0</v>
      </c>
      <c r="D17" s="854">
        <f>'Losses Incurred YTD-10'!D17</f>
        <v>0</v>
      </c>
      <c r="E17" s="854">
        <f>'Losses Incurred YTD-10'!E17</f>
        <v>0</v>
      </c>
      <c r="F17" s="854">
        <f>'Losses Incurred YTD-10'!F17</f>
        <v>0</v>
      </c>
      <c r="G17" s="854">
        <f>SUM(B17:F17)</f>
        <v>0</v>
      </c>
    </row>
    <row r="18" spans="1:7" ht="15" customHeight="1" thickBot="1">
      <c r="A18" s="892" t="s">
        <v>226</v>
      </c>
      <c r="B18" s="829">
        <f aca="true" t="shared" si="1" ref="B18:G18">SUM(B15:B17)</f>
        <v>727415</v>
      </c>
      <c r="C18" s="829">
        <f t="shared" si="1"/>
        <v>1367784</v>
      </c>
      <c r="D18" s="829">
        <f t="shared" si="1"/>
        <v>101727</v>
      </c>
      <c r="E18" s="855">
        <f t="shared" si="1"/>
        <v>56306</v>
      </c>
      <c r="F18" s="855">
        <f t="shared" si="1"/>
        <v>69981</v>
      </c>
      <c r="G18" s="856">
        <f t="shared" si="1"/>
        <v>2323213</v>
      </c>
    </row>
    <row r="19" spans="1:7" ht="15" customHeight="1" thickTop="1">
      <c r="A19" s="890"/>
      <c r="B19" s="827"/>
      <c r="C19" s="827"/>
      <c r="D19" s="827"/>
      <c r="E19" s="858"/>
      <c r="F19" s="858"/>
      <c r="G19" s="858"/>
    </row>
    <row r="20" spans="1:7" ht="15" customHeight="1">
      <c r="A20" s="890" t="s">
        <v>285</v>
      </c>
      <c r="B20" s="859"/>
      <c r="C20" s="859"/>
      <c r="D20" s="859"/>
      <c r="E20" s="859"/>
      <c r="F20" s="859"/>
      <c r="G20" s="859"/>
    </row>
    <row r="21" spans="1:7" ht="15" customHeight="1">
      <c r="A21" s="891" t="s">
        <v>238</v>
      </c>
      <c r="B21" s="854">
        <f>'Losses Incurred YTD-10'!B21</f>
        <v>829983</v>
      </c>
      <c r="C21" s="854">
        <f>'Losses Incurred YTD-10'!C21</f>
        <v>213328</v>
      </c>
      <c r="D21" s="854">
        <f>'Losses Incurred YTD-10'!D21</f>
        <v>12636</v>
      </c>
      <c r="E21" s="854">
        <f>'Losses Incurred YTD-10'!E21</f>
        <v>0</v>
      </c>
      <c r="F21" s="854">
        <f>'Losses Incurred YTD-10'!F21</f>
        <v>0</v>
      </c>
      <c r="G21" s="854">
        <f>SUM(B21:F21)</f>
        <v>1055947</v>
      </c>
    </row>
    <row r="22" spans="1:7" ht="15" customHeight="1">
      <c r="A22" s="891" t="s">
        <v>239</v>
      </c>
      <c r="B22" s="854">
        <f>'Losses Incurred YTD-10'!B22</f>
        <v>78558</v>
      </c>
      <c r="C22" s="854">
        <f>'Losses Incurred YTD-10'!C22</f>
        <v>20446</v>
      </c>
      <c r="D22" s="854">
        <f>'Losses Incurred YTD-10'!D22</f>
        <v>384</v>
      </c>
      <c r="E22" s="854">
        <f>'Losses Incurred YTD-10'!E22</f>
        <v>0</v>
      </c>
      <c r="F22" s="854">
        <f>'Losses Incurred YTD-10'!F22</f>
        <v>0</v>
      </c>
      <c r="G22" s="854">
        <f>SUM(B22:F22)</f>
        <v>99388</v>
      </c>
    </row>
    <row r="23" spans="1:7" ht="15" customHeight="1">
      <c r="A23" s="891" t="s">
        <v>240</v>
      </c>
      <c r="B23" s="854">
        <f>'Losses Incurred YTD-10'!B23</f>
        <v>0</v>
      </c>
      <c r="C23" s="854">
        <f>'Losses Incurred YTD-10'!C23</f>
        <v>0</v>
      </c>
      <c r="D23" s="854">
        <f>'Losses Incurred YTD-10'!D23</f>
        <v>0</v>
      </c>
      <c r="E23" s="854">
        <f>'Losses Incurred YTD-10'!E23</f>
        <v>0</v>
      </c>
      <c r="F23" s="854">
        <f>'Losses Incurred YTD-10'!F23</f>
        <v>0</v>
      </c>
      <c r="G23" s="854">
        <f>SUM(B23:F23)</f>
        <v>0</v>
      </c>
    </row>
    <row r="24" spans="1:7" ht="15" customHeight="1" thickBot="1">
      <c r="A24" s="892" t="s">
        <v>226</v>
      </c>
      <c r="B24" s="829">
        <f aca="true" t="shared" si="2" ref="B24:G24">SUM(B21:B23)</f>
        <v>908541</v>
      </c>
      <c r="C24" s="829">
        <f t="shared" si="2"/>
        <v>233774</v>
      </c>
      <c r="D24" s="829">
        <f t="shared" si="2"/>
        <v>13020</v>
      </c>
      <c r="E24" s="855">
        <f t="shared" si="2"/>
        <v>0</v>
      </c>
      <c r="F24" s="855">
        <f t="shared" si="2"/>
        <v>0</v>
      </c>
      <c r="G24" s="856">
        <f t="shared" si="2"/>
        <v>1155335</v>
      </c>
    </row>
    <row r="25" spans="1:7" ht="15" customHeight="1" thickTop="1">
      <c r="A25" s="890"/>
      <c r="B25" s="857"/>
      <c r="C25" s="857"/>
      <c r="D25" s="857"/>
      <c r="E25" s="854"/>
      <c r="F25" s="854"/>
      <c r="G25" s="854"/>
    </row>
    <row r="26" spans="1:7" ht="15" customHeight="1">
      <c r="A26" s="890" t="s">
        <v>286</v>
      </c>
      <c r="B26" s="860"/>
      <c r="C26" s="860"/>
      <c r="D26" s="860"/>
      <c r="E26" s="854"/>
      <c r="F26" s="854"/>
      <c r="G26" s="854"/>
    </row>
    <row r="27" spans="1:7" ht="15" customHeight="1">
      <c r="A27" s="890" t="s">
        <v>353</v>
      </c>
      <c r="B27" s="860"/>
      <c r="C27" s="860"/>
      <c r="D27" s="860"/>
      <c r="E27" s="854"/>
      <c r="F27" s="854"/>
      <c r="G27" s="854"/>
    </row>
    <row r="28" spans="1:7" ht="15" customHeight="1">
      <c r="A28" s="891" t="s">
        <v>238</v>
      </c>
      <c r="B28" s="857">
        <v>891398</v>
      </c>
      <c r="C28" s="857">
        <v>1666092</v>
      </c>
      <c r="D28" s="915">
        <v>212041</v>
      </c>
      <c r="E28" s="857">
        <v>51005</v>
      </c>
      <c r="F28" s="857">
        <v>68981</v>
      </c>
      <c r="G28" s="854">
        <f>SUM(B28:F28)</f>
        <v>2889517</v>
      </c>
    </row>
    <row r="29" spans="1:7" ht="15" customHeight="1">
      <c r="A29" s="891" t="s">
        <v>239</v>
      </c>
      <c r="B29" s="857">
        <v>119091</v>
      </c>
      <c r="C29" s="857">
        <v>352824</v>
      </c>
      <c r="D29" s="857">
        <v>7154</v>
      </c>
      <c r="E29" s="857">
        <v>4500</v>
      </c>
      <c r="F29" s="857">
        <v>40000</v>
      </c>
      <c r="G29" s="854">
        <f>SUM(B29:F29)</f>
        <v>523569</v>
      </c>
    </row>
    <row r="30" spans="1:7" ht="15" customHeight="1">
      <c r="A30" s="891" t="s">
        <v>240</v>
      </c>
      <c r="B30" s="857">
        <v>0</v>
      </c>
      <c r="C30" s="857">
        <v>0</v>
      </c>
      <c r="D30" s="857">
        <v>0</v>
      </c>
      <c r="E30" s="857">
        <v>0</v>
      </c>
      <c r="F30" s="857">
        <v>0</v>
      </c>
      <c r="G30" s="854">
        <f>SUM(B30:F30)</f>
        <v>0</v>
      </c>
    </row>
    <row r="31" spans="1:7" ht="15" customHeight="1" thickBot="1">
      <c r="A31" s="892" t="s">
        <v>226</v>
      </c>
      <c r="B31" s="829">
        <f aca="true" t="shared" si="3" ref="B31:G31">SUM(B28:B30)</f>
        <v>1010489</v>
      </c>
      <c r="C31" s="829">
        <f t="shared" si="3"/>
        <v>2018916</v>
      </c>
      <c r="D31" s="829">
        <f t="shared" si="3"/>
        <v>219195</v>
      </c>
      <c r="E31" s="855">
        <f t="shared" si="3"/>
        <v>55505</v>
      </c>
      <c r="F31" s="855">
        <f>SUM(F28:F30)</f>
        <v>108981</v>
      </c>
      <c r="G31" s="856">
        <f t="shared" si="3"/>
        <v>3413086</v>
      </c>
    </row>
    <row r="32" spans="1:7" s="861" customFormat="1" ht="15" customHeight="1" thickTop="1">
      <c r="A32" s="890"/>
      <c r="B32" s="860"/>
      <c r="C32" s="860"/>
      <c r="D32" s="860"/>
      <c r="E32" s="860"/>
      <c r="F32" s="860"/>
      <c r="G32" s="860"/>
    </row>
    <row r="33" spans="1:7" ht="15" customHeight="1">
      <c r="A33" s="890" t="s">
        <v>241</v>
      </c>
      <c r="B33" s="857"/>
      <c r="C33" s="857"/>
      <c r="D33" s="857"/>
      <c r="E33" s="854"/>
      <c r="F33" s="854"/>
      <c r="G33" s="854"/>
    </row>
    <row r="34" spans="1:7" ht="15" customHeight="1">
      <c r="A34" s="891" t="s">
        <v>238</v>
      </c>
      <c r="B34" s="854">
        <f aca="true" t="shared" si="4" ref="B34:E36">B9+(B15+B21-B28)</f>
        <v>1241510</v>
      </c>
      <c r="C34" s="854">
        <f>C9+(C15+C21-C28)</f>
        <v>764260</v>
      </c>
      <c r="D34" s="911">
        <f t="shared" si="4"/>
        <v>-136406</v>
      </c>
      <c r="E34" s="911">
        <f t="shared" si="4"/>
        <v>-4116</v>
      </c>
      <c r="F34" s="911">
        <f>F9+(F15+F21-F28)</f>
        <v>-1732</v>
      </c>
      <c r="G34" s="854">
        <f>SUM(B34:F34)</f>
        <v>1863516</v>
      </c>
    </row>
    <row r="35" spans="1:7" ht="15" customHeight="1">
      <c r="A35" s="891" t="s">
        <v>239</v>
      </c>
      <c r="B35" s="854">
        <f>B10+(B16+B22-B29)</f>
        <v>109973</v>
      </c>
      <c r="C35" s="911">
        <f>C10+(C16+C22-C29)</f>
        <v>124307</v>
      </c>
      <c r="D35" s="911">
        <f>D10+(D16+D22-D29)</f>
        <v>-3770</v>
      </c>
      <c r="E35" s="911">
        <f>E10+(E16+E22-E29)</f>
        <v>-972</v>
      </c>
      <c r="F35" s="911">
        <f>F10+(F16+F22-F29)</f>
        <v>-10000</v>
      </c>
      <c r="G35" s="854">
        <f>SUM(B35:F35)</f>
        <v>219538</v>
      </c>
    </row>
    <row r="36" spans="1:7" ht="15" customHeight="1">
      <c r="A36" s="891" t="s">
        <v>240</v>
      </c>
      <c r="B36" s="854">
        <f t="shared" si="4"/>
        <v>0</v>
      </c>
      <c r="C36" s="854">
        <f t="shared" si="4"/>
        <v>0</v>
      </c>
      <c r="D36" s="854">
        <f t="shared" si="4"/>
        <v>0</v>
      </c>
      <c r="E36" s="854">
        <f t="shared" si="4"/>
        <v>0</v>
      </c>
      <c r="F36" s="854">
        <f>F11+(F17+F23-F30)</f>
        <v>0</v>
      </c>
      <c r="G36" s="854">
        <f>SUM(B36:F36)</f>
        <v>0</v>
      </c>
    </row>
    <row r="37" spans="1:7" ht="15" customHeight="1" thickBot="1">
      <c r="A37" s="892" t="s">
        <v>226</v>
      </c>
      <c r="B37" s="862">
        <f aca="true" t="shared" si="5" ref="B37:G37">SUM(B34:B36)</f>
        <v>1351483</v>
      </c>
      <c r="C37" s="862">
        <f t="shared" si="5"/>
        <v>888567</v>
      </c>
      <c r="D37" s="913">
        <f t="shared" si="5"/>
        <v>-140176</v>
      </c>
      <c r="E37" s="913">
        <f t="shared" si="5"/>
        <v>-5088</v>
      </c>
      <c r="F37" s="913">
        <f t="shared" si="5"/>
        <v>-11732</v>
      </c>
      <c r="G37" s="862">
        <f t="shared" si="5"/>
        <v>2083054</v>
      </c>
    </row>
    <row r="38" spans="2:7" ht="15" customHeight="1" thickTop="1">
      <c r="B38" s="859"/>
      <c r="C38" s="859"/>
      <c r="D38" s="859"/>
      <c r="G38" s="863"/>
    </row>
    <row r="39" spans="1:7" s="783" customFormat="1" ht="15" customHeight="1">
      <c r="A39" s="894"/>
      <c r="B39" s="784"/>
      <c r="C39" s="784"/>
      <c r="D39" s="784"/>
      <c r="E39" s="785"/>
      <c r="F39" s="785"/>
      <c r="G39" s="785"/>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9.140625" defaultRowHeight="15" customHeight="1"/>
  <cols>
    <col min="1" max="1" width="59.00390625" style="893" customWidth="1"/>
    <col min="2" max="4" width="16.7109375" style="565" customWidth="1"/>
    <col min="5" max="7" width="16.7109375" style="566" customWidth="1"/>
    <col min="8" max="16384" width="15.7109375" style="340" customWidth="1"/>
  </cols>
  <sheetData>
    <row r="1" spans="1:7" s="363" customFormat="1" ht="24.75" customHeight="1">
      <c r="A1" s="1000" t="s">
        <v>98</v>
      </c>
      <c r="B1" s="1000"/>
      <c r="C1" s="1000"/>
      <c r="D1" s="1000"/>
      <c r="E1" s="1000"/>
      <c r="F1" s="1000"/>
      <c r="G1" s="1000"/>
    </row>
    <row r="2" spans="1:7" s="166" customFormat="1" ht="15" customHeight="1">
      <c r="A2" s="889"/>
      <c r="B2" s="851"/>
      <c r="C2" s="851"/>
      <c r="D2" s="851"/>
      <c r="E2" s="851"/>
      <c r="F2" s="851"/>
      <c r="G2" s="851"/>
    </row>
    <row r="3" spans="1:7" s="167" customFormat="1" ht="15" customHeight="1">
      <c r="A3" s="1001" t="s">
        <v>232</v>
      </c>
      <c r="B3" s="1001"/>
      <c r="C3" s="1001"/>
      <c r="D3" s="1001"/>
      <c r="E3" s="1001"/>
      <c r="F3" s="1001"/>
      <c r="G3" s="1001"/>
    </row>
    <row r="4" spans="1:7" s="167" customFormat="1" ht="15" customHeight="1">
      <c r="A4" s="1001" t="s">
        <v>278</v>
      </c>
      <c r="B4" s="1001"/>
      <c r="C4" s="1001"/>
      <c r="D4" s="1001"/>
      <c r="E4" s="1001"/>
      <c r="F4" s="1001"/>
      <c r="G4" s="1001"/>
    </row>
    <row r="5" spans="1:7" s="364" customFormat="1" ht="15" customHeight="1">
      <c r="A5" s="889"/>
      <c r="B5" s="564"/>
      <c r="C5" s="564"/>
      <c r="D5" s="564"/>
      <c r="E5" s="851"/>
      <c r="F5" s="851"/>
      <c r="G5" s="851"/>
    </row>
    <row r="6" spans="2:7" ht="30" customHeight="1">
      <c r="B6" s="875" t="s">
        <v>337</v>
      </c>
      <c r="C6" s="875" t="s">
        <v>331</v>
      </c>
      <c r="D6" s="875" t="s">
        <v>351</v>
      </c>
      <c r="E6" s="875" t="s">
        <v>330</v>
      </c>
      <c r="F6" s="876" t="s">
        <v>338</v>
      </c>
      <c r="G6" s="875" t="s">
        <v>99</v>
      </c>
    </row>
    <row r="7" spans="1:7" ht="15" customHeight="1">
      <c r="A7" s="890" t="s">
        <v>233</v>
      </c>
      <c r="B7" s="852"/>
      <c r="C7" s="852"/>
      <c r="D7" s="852"/>
      <c r="E7" s="852"/>
      <c r="F7" s="852"/>
      <c r="G7" s="852"/>
    </row>
    <row r="8" spans="1:7" ht="15" customHeight="1">
      <c r="A8" s="890" t="s">
        <v>352</v>
      </c>
      <c r="B8" s="853"/>
      <c r="C8" s="853"/>
      <c r="D8" s="853"/>
      <c r="E8" s="853"/>
      <c r="F8" s="853"/>
      <c r="G8" s="853"/>
    </row>
    <row r="9" spans="1:7" ht="15" customHeight="1">
      <c r="A9" s="891" t="s">
        <v>235</v>
      </c>
      <c r="B9" s="907">
        <f>'[12]Loss Expenses Paid YTD-16'!E33</f>
        <v>743079</v>
      </c>
      <c r="C9" s="907">
        <f>'[12]Loss Expenses Paid YTD-16'!E27</f>
        <v>5019359</v>
      </c>
      <c r="D9" s="907">
        <f>'[12]Loss Expenses Paid YTD-16'!E21+'[11]3Q08 Trial Balance'!F289</f>
        <v>280644</v>
      </c>
      <c r="E9" s="907">
        <f>'[12]Loss Expenses Paid YTD-16'!E15+'[11]3Q08 Trial Balance'!F287</f>
        <v>-17248</v>
      </c>
      <c r="F9" s="907">
        <f>'[12]Loss Expenses Paid YTD-16'!E9+'[11]3Q08 Trial Balance'!F285</f>
        <v>30953</v>
      </c>
      <c r="G9" s="907">
        <f>SUM(B9:F9)</f>
        <v>6056787</v>
      </c>
    </row>
    <row r="10" spans="1:7" ht="15" customHeight="1">
      <c r="A10" s="891" t="s">
        <v>236</v>
      </c>
      <c r="B10" s="854">
        <f>'[12]Loss Expenses Paid YTD-16'!E34</f>
        <v>148725</v>
      </c>
      <c r="C10" s="854">
        <f>'[12]Loss Expenses Paid YTD-16'!E28+'[11]3Q08 Trial Balance'!F291</f>
        <v>635762</v>
      </c>
      <c r="D10" s="854">
        <f>'[12]Loss Expenses Paid YTD-16'!E22</f>
        <v>27176</v>
      </c>
      <c r="E10" s="911">
        <f>'[12]Loss Expenses Paid YTD-16'!E16</f>
        <v>2570</v>
      </c>
      <c r="F10" s="854">
        <f>'[12]Loss Expenses Paid YTD-16'!E10</f>
        <v>29000</v>
      </c>
      <c r="G10" s="854">
        <f>SUM(B10:F10)</f>
        <v>843233</v>
      </c>
    </row>
    <row r="11" spans="1:7" ht="15" customHeight="1">
      <c r="A11" s="891" t="s">
        <v>237</v>
      </c>
      <c r="B11" s="854">
        <f>'[12]Loss Expenses Paid YTD-16'!E35</f>
        <v>0</v>
      </c>
      <c r="C11" s="854">
        <f>'[12]Loss Expenses Paid YTD-16'!E29</f>
        <v>302</v>
      </c>
      <c r="D11" s="854">
        <f>'[12]Loss Expenses Paid YTD-16'!E23</f>
        <v>0</v>
      </c>
      <c r="E11" s="854">
        <f>'[12]Loss Expenses Paid YTD-16'!E17</f>
        <v>0</v>
      </c>
      <c r="F11" s="854">
        <f>'[12]Loss Expenses Paid YTD-16'!E11</f>
        <v>0</v>
      </c>
      <c r="G11" s="854">
        <f>SUM(B11:F11)</f>
        <v>302</v>
      </c>
    </row>
    <row r="12" spans="1:7" ht="15" customHeight="1" thickBot="1">
      <c r="A12" s="892" t="s">
        <v>226</v>
      </c>
      <c r="B12" s="829">
        <f aca="true" t="shared" si="0" ref="B12:G12">SUM(B9:B11)</f>
        <v>891804</v>
      </c>
      <c r="C12" s="829">
        <f t="shared" si="0"/>
        <v>5655423</v>
      </c>
      <c r="D12" s="829">
        <f t="shared" si="0"/>
        <v>307820</v>
      </c>
      <c r="E12" s="912">
        <f t="shared" si="0"/>
        <v>-14678</v>
      </c>
      <c r="F12" s="912">
        <f t="shared" si="0"/>
        <v>59953</v>
      </c>
      <c r="G12" s="895">
        <f t="shared" si="0"/>
        <v>6900322</v>
      </c>
    </row>
    <row r="13" spans="1:7" ht="15" customHeight="1" thickTop="1">
      <c r="A13" s="890"/>
      <c r="B13" s="857"/>
      <c r="C13" s="857"/>
      <c r="D13" s="857"/>
      <c r="E13" s="854"/>
      <c r="F13" s="854"/>
      <c r="G13" s="854"/>
    </row>
    <row r="14" spans="1:7" ht="15" customHeight="1">
      <c r="A14" s="890" t="s">
        <v>284</v>
      </c>
      <c r="B14" s="857"/>
      <c r="C14" s="857"/>
      <c r="D14" s="857"/>
      <c r="E14" s="854"/>
      <c r="F14" s="854"/>
      <c r="G14" s="854"/>
    </row>
    <row r="15" spans="1:7" ht="15" customHeight="1">
      <c r="A15" s="891" t="s">
        <v>238</v>
      </c>
      <c r="B15" s="854">
        <f>'[12]Unpaid Loss Reserves-13'!D35</f>
        <v>664518</v>
      </c>
      <c r="C15" s="854">
        <f>'[12]Unpaid Loss Reserves-13'!D28</f>
        <v>1248157</v>
      </c>
      <c r="D15" s="854">
        <f>'[12]Unpaid Loss Reserves-13'!D22</f>
        <v>98727</v>
      </c>
      <c r="E15" s="854">
        <f>'[12]Unpaid Loss Reserves-13'!D15</f>
        <v>51005</v>
      </c>
      <c r="F15" s="854">
        <f>'[12]Unpaid Loss Reserves-13'!D8</f>
        <v>68981</v>
      </c>
      <c r="G15" s="854">
        <f>SUM(B15:F15)</f>
        <v>2131388</v>
      </c>
    </row>
    <row r="16" spans="1:7" ht="15" customHeight="1">
      <c r="A16" s="891" t="s">
        <v>239</v>
      </c>
      <c r="B16" s="854">
        <f>'[12]Unpaid Loss Reserves-13'!D36</f>
        <v>62897</v>
      </c>
      <c r="C16" s="854">
        <f>'[12]Unpaid Loss Reserves-13'!D29</f>
        <v>119627</v>
      </c>
      <c r="D16" s="854">
        <f>'[12]Unpaid Loss Reserves-13'!D23</f>
        <v>3000</v>
      </c>
      <c r="E16" s="854">
        <f>'[12]Unpaid Loss Reserves-13'!D16</f>
        <v>5301</v>
      </c>
      <c r="F16" s="854">
        <f>'[12]Unpaid Loss Reserves-13'!D9</f>
        <v>1000</v>
      </c>
      <c r="G16" s="854">
        <f>SUM(B16:F16)</f>
        <v>191825</v>
      </c>
    </row>
    <row r="17" spans="1:7" ht="15" customHeight="1">
      <c r="A17" s="891" t="s">
        <v>240</v>
      </c>
      <c r="B17" s="854">
        <f>'[12]Unpaid Loss Reserves-13'!D37</f>
        <v>0</v>
      </c>
      <c r="C17" s="854">
        <f>'[12]Unpaid Loss Reserves-13'!D30</f>
        <v>0</v>
      </c>
      <c r="D17" s="854">
        <f>'[12]Unpaid Loss Reserves-13'!D24</f>
        <v>0</v>
      </c>
      <c r="E17" s="854">
        <f>'[12]Unpaid Loss Reserves-13'!D17</f>
        <v>0</v>
      </c>
      <c r="F17" s="854">
        <f>'[12]Unpaid Loss Reserves-13'!D10</f>
        <v>0</v>
      </c>
      <c r="G17" s="854">
        <f>SUM(B17:F17)</f>
        <v>0</v>
      </c>
    </row>
    <row r="18" spans="1:7" ht="15" customHeight="1" thickBot="1">
      <c r="A18" s="892" t="s">
        <v>226</v>
      </c>
      <c r="B18" s="829">
        <f aca="true" t="shared" si="1" ref="B18:G18">SUM(B15:B17)</f>
        <v>727415</v>
      </c>
      <c r="C18" s="829">
        <f t="shared" si="1"/>
        <v>1367784</v>
      </c>
      <c r="D18" s="829">
        <f t="shared" si="1"/>
        <v>101727</v>
      </c>
      <c r="E18" s="855">
        <f t="shared" si="1"/>
        <v>56306</v>
      </c>
      <c r="F18" s="855">
        <f t="shared" si="1"/>
        <v>69981</v>
      </c>
      <c r="G18" s="856">
        <f t="shared" si="1"/>
        <v>2323213</v>
      </c>
    </row>
    <row r="19" spans="1:7" ht="15" customHeight="1" thickTop="1">
      <c r="A19" s="890"/>
      <c r="B19" s="827"/>
      <c r="C19" s="827"/>
      <c r="D19" s="827"/>
      <c r="E19" s="858"/>
      <c r="F19" s="858"/>
      <c r="G19" s="858"/>
    </row>
    <row r="20" spans="1:7" ht="15" customHeight="1">
      <c r="A20" s="890" t="s">
        <v>285</v>
      </c>
      <c r="B20" s="859"/>
      <c r="C20" s="859"/>
      <c r="D20" s="859"/>
      <c r="E20" s="859"/>
      <c r="F20" s="859"/>
      <c r="G20" s="859"/>
    </row>
    <row r="21" spans="1:7" ht="15" customHeight="1">
      <c r="A21" s="891" t="s">
        <v>238</v>
      </c>
      <c r="B21" s="854">
        <f>'[12]Unpaid Loss Reserves-13'!B35</f>
        <v>829983</v>
      </c>
      <c r="C21" s="854">
        <f>'[12]Unpaid Loss Reserves-13'!B28</f>
        <v>213328</v>
      </c>
      <c r="D21" s="854">
        <f>'[12]Unpaid Loss Reserves-13'!B22</f>
        <v>12636</v>
      </c>
      <c r="E21" s="854">
        <f>'[12]Unpaid Loss Reserves-13'!B15</f>
        <v>0</v>
      </c>
      <c r="F21" s="854">
        <f>'[12]Unpaid Loss Reserves-13'!B8</f>
        <v>0</v>
      </c>
      <c r="G21" s="854">
        <f>SUM(B21:F21)</f>
        <v>1055947</v>
      </c>
    </row>
    <row r="22" spans="1:7" ht="15" customHeight="1">
      <c r="A22" s="891" t="s">
        <v>239</v>
      </c>
      <c r="B22" s="854">
        <f>'[12]Unpaid Loss Reserves-13'!B36</f>
        <v>78558</v>
      </c>
      <c r="C22" s="854">
        <f>'[12]Unpaid Loss Reserves-13'!B29</f>
        <v>20446</v>
      </c>
      <c r="D22" s="854">
        <f>'[12]Unpaid Loss Reserves-13'!B23</f>
        <v>384</v>
      </c>
      <c r="E22" s="854">
        <f>'[12]Unpaid Loss Reserves-13'!B16</f>
        <v>0</v>
      </c>
      <c r="F22" s="854">
        <f>'[12]Unpaid Loss Reserves-13'!B9</f>
        <v>0</v>
      </c>
      <c r="G22" s="854">
        <f>SUM(B22:F22)</f>
        <v>99388</v>
      </c>
    </row>
    <row r="23" spans="1:7" ht="15" customHeight="1">
      <c r="A23" s="891" t="s">
        <v>240</v>
      </c>
      <c r="B23" s="854">
        <f>'[12]Unpaid Loss Reserves-13'!B37</f>
        <v>0</v>
      </c>
      <c r="C23" s="854">
        <f>'[12]Unpaid Loss Reserves-13'!B30</f>
        <v>0</v>
      </c>
      <c r="D23" s="854">
        <f>'[12]Unpaid Loss Reserves-13'!B24</f>
        <v>0</v>
      </c>
      <c r="E23" s="854">
        <f>'[12]Unpaid Loss Reserves-13'!B17</f>
        <v>0</v>
      </c>
      <c r="F23" s="854">
        <f>'[12]Unpaid Loss Reserves-13'!B10</f>
        <v>0</v>
      </c>
      <c r="G23" s="854">
        <f>SUM(B23:F23)</f>
        <v>0</v>
      </c>
    </row>
    <row r="24" spans="1:7" ht="15" customHeight="1" thickBot="1">
      <c r="A24" s="892" t="s">
        <v>226</v>
      </c>
      <c r="B24" s="829">
        <f aca="true" t="shared" si="2" ref="B24:G24">SUM(B21:B23)</f>
        <v>908541</v>
      </c>
      <c r="C24" s="829">
        <f t="shared" si="2"/>
        <v>233774</v>
      </c>
      <c r="D24" s="829">
        <f t="shared" si="2"/>
        <v>13020</v>
      </c>
      <c r="E24" s="855">
        <f t="shared" si="2"/>
        <v>0</v>
      </c>
      <c r="F24" s="855">
        <f t="shared" si="2"/>
        <v>0</v>
      </c>
      <c r="G24" s="856">
        <f t="shared" si="2"/>
        <v>1155335</v>
      </c>
    </row>
    <row r="25" spans="1:7" ht="15" customHeight="1" thickTop="1">
      <c r="A25" s="890"/>
      <c r="B25" s="857"/>
      <c r="C25" s="857"/>
      <c r="D25" s="857"/>
      <c r="E25" s="854"/>
      <c r="F25" s="854"/>
      <c r="G25" s="854"/>
    </row>
    <row r="26" spans="1:7" ht="15" customHeight="1">
      <c r="A26" s="890" t="s">
        <v>340</v>
      </c>
      <c r="B26" s="860"/>
      <c r="C26" s="860"/>
      <c r="D26" s="860"/>
      <c r="E26" s="854"/>
      <c r="F26" s="854"/>
      <c r="G26" s="854"/>
    </row>
    <row r="27" spans="1:7" ht="15" customHeight="1">
      <c r="A27" s="890" t="s">
        <v>353</v>
      </c>
      <c r="B27" s="860"/>
      <c r="C27" s="860"/>
      <c r="D27" s="860"/>
      <c r="E27" s="854"/>
      <c r="F27" s="854"/>
      <c r="G27" s="854"/>
    </row>
    <row r="28" spans="1:7" ht="15" customHeight="1">
      <c r="A28" s="891" t="s">
        <v>238</v>
      </c>
      <c r="B28" s="857">
        <v>0</v>
      </c>
      <c r="C28" s="857">
        <v>2741412.88</v>
      </c>
      <c r="D28" s="857">
        <v>833575.45</v>
      </c>
      <c r="E28" s="857">
        <v>51052.34</v>
      </c>
      <c r="F28" s="857">
        <v>110000</v>
      </c>
      <c r="G28" s="854">
        <f>SUM(B28:F28)-1</f>
        <v>3736039.67</v>
      </c>
    </row>
    <row r="29" spans="1:7" ht="15" customHeight="1">
      <c r="A29" s="891" t="s">
        <v>239</v>
      </c>
      <c r="B29" s="857">
        <v>0</v>
      </c>
      <c r="C29" s="857">
        <v>114233.83</v>
      </c>
      <c r="D29" s="857">
        <v>49647.74</v>
      </c>
      <c r="E29" s="857">
        <v>18844.02</v>
      </c>
      <c r="F29" s="857">
        <v>45472</v>
      </c>
      <c r="G29" s="854">
        <f>SUM(B29:F29)</f>
        <v>228197.59</v>
      </c>
    </row>
    <row r="30" spans="1:7" ht="15" customHeight="1">
      <c r="A30" s="891" t="s">
        <v>240</v>
      </c>
      <c r="B30" s="857">
        <v>0</v>
      </c>
      <c r="C30" s="857">
        <v>1185.4</v>
      </c>
      <c r="D30" s="857">
        <v>0</v>
      </c>
      <c r="E30" s="857">
        <v>0</v>
      </c>
      <c r="F30" s="857">
        <v>0</v>
      </c>
      <c r="G30" s="854">
        <f>SUM(B30:F30)</f>
        <v>1185.4</v>
      </c>
    </row>
    <row r="31" spans="1:7" ht="15" customHeight="1" thickBot="1">
      <c r="A31" s="892" t="s">
        <v>226</v>
      </c>
      <c r="B31" s="829">
        <f aca="true" t="shared" si="3" ref="B31:G31">SUM(B28:B30)</f>
        <v>0</v>
      </c>
      <c r="C31" s="829">
        <f t="shared" si="3"/>
        <v>2856832.11</v>
      </c>
      <c r="D31" s="829">
        <f t="shared" si="3"/>
        <v>883223.19</v>
      </c>
      <c r="E31" s="855">
        <f t="shared" si="3"/>
        <v>69896.36</v>
      </c>
      <c r="F31" s="855">
        <f>SUM(F28:F30)</f>
        <v>155472</v>
      </c>
      <c r="G31" s="856">
        <f t="shared" si="3"/>
        <v>3965422.6599999997</v>
      </c>
    </row>
    <row r="32" spans="1:7" s="861" customFormat="1" ht="15" customHeight="1" thickTop="1">
      <c r="A32" s="890"/>
      <c r="B32" s="860"/>
      <c r="C32" s="860"/>
      <c r="D32" s="860"/>
      <c r="E32" s="860"/>
      <c r="F32" s="860"/>
      <c r="G32" s="860"/>
    </row>
    <row r="33" spans="1:7" ht="15" customHeight="1">
      <c r="A33" s="890" t="s">
        <v>241</v>
      </c>
      <c r="B33" s="857"/>
      <c r="C33" s="857"/>
      <c r="D33" s="857"/>
      <c r="E33" s="854"/>
      <c r="F33" s="854"/>
      <c r="G33" s="854"/>
    </row>
    <row r="34" spans="1:7" ht="15" customHeight="1">
      <c r="A34" s="891" t="s">
        <v>238</v>
      </c>
      <c r="B34" s="854">
        <f aca="true" t="shared" si="4" ref="B34:E36">B9+(B15+B21-B28)</f>
        <v>2237580</v>
      </c>
      <c r="C34" s="854">
        <f>C9+(C15+C21-C28)</f>
        <v>3739431.12</v>
      </c>
      <c r="D34" s="911">
        <f t="shared" si="4"/>
        <v>-441568.44999999995</v>
      </c>
      <c r="E34" s="911">
        <f t="shared" si="4"/>
        <v>-17295.339999999997</v>
      </c>
      <c r="F34" s="911">
        <f>F9+(F15+F21-F28)</f>
        <v>-10066</v>
      </c>
      <c r="G34" s="854">
        <f>SUM(B34:F34)+1</f>
        <v>5508082.33</v>
      </c>
    </row>
    <row r="35" spans="1:7" ht="15" customHeight="1">
      <c r="A35" s="891" t="s">
        <v>239</v>
      </c>
      <c r="B35" s="854">
        <f>B10+(B16+B22-B29)</f>
        <v>290180</v>
      </c>
      <c r="C35" s="854">
        <f>C10+(C16+C22-C29)</f>
        <v>661601.17</v>
      </c>
      <c r="D35" s="911">
        <f>D10+(D16+D22-D29)</f>
        <v>-19087.739999999998</v>
      </c>
      <c r="E35" s="911">
        <f>E10+(E16+E22-E29)</f>
        <v>-10973.02</v>
      </c>
      <c r="F35" s="911">
        <f>F10+(F16+F22-F29)</f>
        <v>-15472</v>
      </c>
      <c r="G35" s="854">
        <f>SUM(B35:F35)</f>
        <v>906248.41</v>
      </c>
    </row>
    <row r="36" spans="1:7" ht="15" customHeight="1">
      <c r="A36" s="891" t="s">
        <v>240</v>
      </c>
      <c r="B36" s="854">
        <f t="shared" si="4"/>
        <v>0</v>
      </c>
      <c r="C36" s="911">
        <f t="shared" si="4"/>
        <v>-883.4000000000001</v>
      </c>
      <c r="D36" s="854">
        <f t="shared" si="4"/>
        <v>0</v>
      </c>
      <c r="E36" s="854">
        <f t="shared" si="4"/>
        <v>0</v>
      </c>
      <c r="F36" s="854">
        <f>F11+(F17+F23-F30)</f>
        <v>0</v>
      </c>
      <c r="G36" s="911">
        <f>SUM(B36:F36)</f>
        <v>-883.4000000000001</v>
      </c>
    </row>
    <row r="37" spans="1:7" ht="15" customHeight="1" thickBot="1">
      <c r="A37" s="892" t="s">
        <v>226</v>
      </c>
      <c r="B37" s="862">
        <f aca="true" t="shared" si="5" ref="B37:G37">SUM(B34:B36)</f>
        <v>2527760</v>
      </c>
      <c r="C37" s="862">
        <f t="shared" si="5"/>
        <v>4400148.89</v>
      </c>
      <c r="D37" s="913">
        <f t="shared" si="5"/>
        <v>-460656.18999999994</v>
      </c>
      <c r="E37" s="913">
        <f t="shared" si="5"/>
        <v>-28268.359999999997</v>
      </c>
      <c r="F37" s="913">
        <f t="shared" si="5"/>
        <v>-25538</v>
      </c>
      <c r="G37" s="862">
        <f t="shared" si="5"/>
        <v>6413447.34</v>
      </c>
    </row>
    <row r="38" spans="2:7" ht="15" customHeight="1" thickTop="1">
      <c r="B38" s="859"/>
      <c r="C38" s="859"/>
      <c r="D38" s="859"/>
      <c r="G38" s="854"/>
    </row>
    <row r="39" spans="1:7" s="783" customFormat="1" ht="15" customHeight="1">
      <c r="A39" s="894"/>
      <c r="B39" s="784"/>
      <c r="C39" s="784"/>
      <c r="D39" s="784"/>
      <c r="E39" s="785"/>
      <c r="F39" s="785"/>
      <c r="G39" s="854"/>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98</v>
      </c>
      <c r="B1" s="307"/>
      <c r="C1" s="307"/>
      <c r="D1" s="307"/>
      <c r="E1" s="335"/>
      <c r="F1" s="335"/>
      <c r="G1" s="336"/>
      <c r="H1" s="260"/>
    </row>
    <row r="2" spans="1:7" ht="15" customHeight="1">
      <c r="A2" s="772"/>
      <c r="B2" s="326"/>
      <c r="C2" s="326"/>
      <c r="D2" s="326"/>
      <c r="E2" s="326"/>
      <c r="F2" s="326"/>
      <c r="G2" s="337"/>
    </row>
    <row r="3" spans="1:8" s="45" customFormat="1" ht="15" customHeight="1">
      <c r="A3" s="634" t="s">
        <v>243</v>
      </c>
      <c r="B3" s="864"/>
      <c r="C3" s="864"/>
      <c r="D3" s="864"/>
      <c r="E3" s="865"/>
      <c r="F3" s="865"/>
      <c r="G3" s="866"/>
      <c r="H3" s="770"/>
    </row>
    <row r="4" spans="1:8" s="45" customFormat="1" ht="15" customHeight="1">
      <c r="A4" s="634" t="s">
        <v>244</v>
      </c>
      <c r="B4" s="864"/>
      <c r="C4" s="864"/>
      <c r="D4" s="864"/>
      <c r="E4" s="865"/>
      <c r="F4" s="865"/>
      <c r="G4" s="866"/>
      <c r="H4" s="770"/>
    </row>
    <row r="5" spans="1:8" s="45" customFormat="1" ht="15" customHeight="1">
      <c r="A5" s="378" t="s">
        <v>282</v>
      </c>
      <c r="B5" s="864"/>
      <c r="C5" s="864"/>
      <c r="D5" s="864"/>
      <c r="E5" s="865"/>
      <c r="F5" s="865"/>
      <c r="G5" s="866"/>
      <c r="H5" s="770"/>
    </row>
    <row r="6" spans="1:7" ht="15" customHeight="1">
      <c r="A6" s="17"/>
      <c r="E6" s="337"/>
      <c r="F6" s="337"/>
      <c r="G6" s="337"/>
    </row>
    <row r="7" spans="1:7" ht="30" customHeight="1">
      <c r="A7" s="47"/>
      <c r="B7" s="875" t="s">
        <v>337</v>
      </c>
      <c r="C7" s="875" t="s">
        <v>331</v>
      </c>
      <c r="D7" s="875" t="s">
        <v>351</v>
      </c>
      <c r="E7" s="875" t="s">
        <v>330</v>
      </c>
      <c r="F7" s="876" t="s">
        <v>338</v>
      </c>
      <c r="G7" s="877" t="s">
        <v>99</v>
      </c>
    </row>
    <row r="8" spans="1:7" ht="30" customHeight="1">
      <c r="A8" s="867" t="s">
        <v>329</v>
      </c>
      <c r="B8" s="311"/>
      <c r="C8" s="311"/>
      <c r="D8" s="311"/>
      <c r="G8" s="868"/>
    </row>
    <row r="9" spans="1:38" ht="15" customHeight="1">
      <c r="A9" s="18" t="s">
        <v>223</v>
      </c>
      <c r="B9" s="869">
        <f>'[12]Loss Expenses Paid QTD-15'!K33</f>
        <v>69527</v>
      </c>
      <c r="C9" s="869">
        <f>'[12]Loss Expenses Paid QTD-15'!K27</f>
        <v>129456</v>
      </c>
      <c r="D9" s="869">
        <f>'[12]Loss Expenses Paid QTD-15'!K21</f>
        <v>35684</v>
      </c>
      <c r="E9" s="869">
        <f>'[12]Loss Expenses Paid QTD-15'!K15</f>
        <v>9270</v>
      </c>
      <c r="F9" s="122">
        <f>'[12]Loss Expenses Paid QTD-15'!K9</f>
        <v>0</v>
      </c>
      <c r="G9" s="869">
        <f>SUM(B9:F9)</f>
        <v>243937</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224</v>
      </c>
      <c r="B10" s="122">
        <f>'[12]Loss Expenses Paid QTD-15'!K34</f>
        <v>31299</v>
      </c>
      <c r="C10" s="122">
        <f>'[12]Loss Expenses Paid QTD-15'!K28</f>
        <v>67016</v>
      </c>
      <c r="D10" s="122">
        <f>'[12]Loss Expenses Paid QTD-15'!K22</f>
        <v>1124</v>
      </c>
      <c r="E10" s="122">
        <f>'[12]Loss Expenses Paid QTD-15'!K16</f>
        <v>445</v>
      </c>
      <c r="F10" s="908">
        <f>'[12]Loss Expenses Paid QTD-15'!K10</f>
        <v>6059</v>
      </c>
      <c r="G10" s="122">
        <f>SUM(B10:F10)</f>
        <v>105943</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225</v>
      </c>
      <c r="B11" s="122">
        <f>'[12]Loss Expenses Paid QTD-15'!K35</f>
        <v>0</v>
      </c>
      <c r="C11" s="122">
        <f>'[12]Loss Expenses Paid QTD-15'!K29</f>
        <v>0</v>
      </c>
      <c r="D11" s="122">
        <f>'[12]Loss Expenses Paid QTD-15'!K23</f>
        <v>0</v>
      </c>
      <c r="E11" s="122">
        <f>'[12]Loss Expenses Paid QTD-15'!K17</f>
        <v>0</v>
      </c>
      <c r="F11" s="122">
        <f>'[12]Loss Expenses Paid QTD-15'!K11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226</v>
      </c>
      <c r="B12" s="332">
        <f aca="true" t="shared" si="0" ref="B12:G12">SUM(B9:B11)</f>
        <v>100826</v>
      </c>
      <c r="C12" s="332">
        <f t="shared" si="0"/>
        <v>196472</v>
      </c>
      <c r="D12" s="332">
        <f t="shared" si="0"/>
        <v>36808</v>
      </c>
      <c r="E12" s="332">
        <f t="shared" si="0"/>
        <v>9715</v>
      </c>
      <c r="F12" s="332">
        <f t="shared" si="0"/>
        <v>6059</v>
      </c>
      <c r="G12" s="129">
        <f t="shared" si="0"/>
        <v>349880</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280</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223</v>
      </c>
      <c r="B15" s="126">
        <f>'Loss Expenses YTD-12'!B15</f>
        <v>148641</v>
      </c>
      <c r="C15" s="126">
        <f>'Loss Expenses YTD-12'!C15</f>
        <v>173447</v>
      </c>
      <c r="D15" s="126">
        <f>'Loss Expenses YTD-12'!D15</f>
        <v>40267</v>
      </c>
      <c r="E15" s="122">
        <f>'Loss Expenses YTD-12'!E15</f>
        <v>10985</v>
      </c>
      <c r="F15" s="122">
        <f>'Loss Expenses YTD-12'!F15</f>
        <v>2578</v>
      </c>
      <c r="G15" s="122">
        <f>SUM(B15:F15)</f>
        <v>375918</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224</v>
      </c>
      <c r="B16" s="126">
        <f>'Loss Expenses YTD-12'!B16</f>
        <v>14069</v>
      </c>
      <c r="C16" s="126">
        <f>'Loss Expenses YTD-12'!C16</f>
        <v>16623</v>
      </c>
      <c r="D16" s="126">
        <f>'Loss Expenses YTD-12'!D16</f>
        <v>1223</v>
      </c>
      <c r="E16" s="122">
        <f>'Loss Expenses YTD-12'!E16</f>
        <v>1141</v>
      </c>
      <c r="F16" s="122">
        <f>'Loss Expenses YTD-12'!F16</f>
        <v>4018</v>
      </c>
      <c r="G16" s="122">
        <f>SUM(B16:F16)</f>
        <v>37074</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225</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226</v>
      </c>
      <c r="B18" s="138">
        <f aca="true" t="shared" si="1" ref="B18:G18">SUM(B15:B17)</f>
        <v>162710</v>
      </c>
      <c r="C18" s="138">
        <f t="shared" si="1"/>
        <v>190070</v>
      </c>
      <c r="D18" s="138">
        <f t="shared" si="1"/>
        <v>41490</v>
      </c>
      <c r="E18" s="332">
        <f t="shared" si="1"/>
        <v>12126</v>
      </c>
      <c r="F18" s="332">
        <f t="shared" si="1"/>
        <v>6596</v>
      </c>
      <c r="G18" s="129">
        <f t="shared" si="1"/>
        <v>412992</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283</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223</v>
      </c>
      <c r="B21" s="126">
        <v>74229</v>
      </c>
      <c r="C21" s="126">
        <v>176279</v>
      </c>
      <c r="D21" s="910">
        <v>52683</v>
      </c>
      <c r="E21" s="122">
        <v>12957</v>
      </c>
      <c r="F21" s="122">
        <v>2578</v>
      </c>
      <c r="G21" s="122">
        <f>SUM(B21:F21)</f>
        <v>318726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246</v>
      </c>
      <c r="B22" s="126">
        <v>9917</v>
      </c>
      <c r="C22" s="126">
        <v>37331</v>
      </c>
      <c r="D22" s="126">
        <v>1778</v>
      </c>
      <c r="E22" s="122">
        <v>1143</v>
      </c>
      <c r="F22" s="122">
        <v>5848</v>
      </c>
      <c r="G22" s="122">
        <f>SUM(B22:F22)</f>
        <v>56017</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225</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226</v>
      </c>
      <c r="B24" s="138">
        <f aca="true" t="shared" si="2" ref="B24:G24">SUM(B21:B23)</f>
        <v>84146</v>
      </c>
      <c r="C24" s="138">
        <f t="shared" si="2"/>
        <v>213610</v>
      </c>
      <c r="D24" s="138">
        <f>SUM(D21:D23)</f>
        <v>54461</v>
      </c>
      <c r="E24" s="332">
        <f t="shared" si="2"/>
        <v>14100</v>
      </c>
      <c r="F24" s="332">
        <f t="shared" si="2"/>
        <v>8426</v>
      </c>
      <c r="G24" s="129">
        <f t="shared" si="2"/>
        <v>374743</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301</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223</v>
      </c>
      <c r="B27" s="122">
        <f aca="true" t="shared" si="3" ref="B27:E29">B9+B15-B21</f>
        <v>143939</v>
      </c>
      <c r="C27" s="122">
        <f t="shared" si="3"/>
        <v>126624</v>
      </c>
      <c r="D27" s="908">
        <f t="shared" si="3"/>
        <v>23268</v>
      </c>
      <c r="E27" s="122">
        <f t="shared" si="3"/>
        <v>7298</v>
      </c>
      <c r="F27" s="122">
        <v>0</v>
      </c>
      <c r="G27" s="122">
        <f>SUM(B27:F27)</f>
        <v>301129</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224</v>
      </c>
      <c r="B28" s="122">
        <f t="shared" si="3"/>
        <v>35451</v>
      </c>
      <c r="C28" s="908">
        <f t="shared" si="3"/>
        <v>46308</v>
      </c>
      <c r="D28" s="908">
        <f t="shared" si="3"/>
        <v>569</v>
      </c>
      <c r="E28" s="122">
        <f t="shared" si="3"/>
        <v>443</v>
      </c>
      <c r="F28" s="122">
        <f>F10+F16-F22</f>
        <v>4229</v>
      </c>
      <c r="G28" s="908">
        <f>SUM(B28:F28)</f>
        <v>87000</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225</v>
      </c>
      <c r="B29" s="122">
        <f t="shared" si="3"/>
        <v>0</v>
      </c>
      <c r="C29" s="122">
        <f t="shared" si="3"/>
        <v>0</v>
      </c>
      <c r="D29" s="122">
        <f t="shared" si="3"/>
        <v>0</v>
      </c>
      <c r="E29" s="122">
        <f t="shared" si="3"/>
        <v>0</v>
      </c>
      <c r="F29" s="122">
        <f>F11+F17-F23</f>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226</v>
      </c>
      <c r="B30" s="343">
        <f aca="true" t="shared" si="4" ref="B30:G30">SUM(B27:B29)</f>
        <v>179390</v>
      </c>
      <c r="C30" s="909">
        <f t="shared" si="4"/>
        <v>172932</v>
      </c>
      <c r="D30" s="343">
        <f t="shared" si="4"/>
        <v>23837</v>
      </c>
      <c r="E30" s="343">
        <f t="shared" si="4"/>
        <v>7741</v>
      </c>
      <c r="F30" s="343">
        <f t="shared" si="4"/>
        <v>4229</v>
      </c>
      <c r="G30" s="343">
        <f t="shared" si="4"/>
        <v>388129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98</v>
      </c>
      <c r="B1" s="307"/>
      <c r="C1" s="307"/>
      <c r="D1" s="307"/>
      <c r="E1" s="335"/>
      <c r="F1" s="335"/>
      <c r="G1" s="336"/>
      <c r="H1" s="260"/>
    </row>
    <row r="2" spans="1:7" ht="15" customHeight="1">
      <c r="A2" s="772"/>
      <c r="B2" s="326"/>
      <c r="C2" s="326"/>
      <c r="D2" s="326"/>
      <c r="E2" s="326"/>
      <c r="F2" s="326"/>
      <c r="G2" s="337"/>
    </row>
    <row r="3" spans="1:8" s="45" customFormat="1" ht="15" customHeight="1">
      <c r="A3" s="634" t="s">
        <v>243</v>
      </c>
      <c r="B3" s="864"/>
      <c r="C3" s="864"/>
      <c r="D3" s="864"/>
      <c r="E3" s="865"/>
      <c r="F3" s="865"/>
      <c r="G3" s="866"/>
      <c r="H3" s="770"/>
    </row>
    <row r="4" spans="1:8" s="45" customFormat="1" ht="15" customHeight="1">
      <c r="A4" s="634" t="s">
        <v>244</v>
      </c>
      <c r="B4" s="864"/>
      <c r="C4" s="864"/>
      <c r="D4" s="864"/>
      <c r="E4" s="865"/>
      <c r="F4" s="865"/>
      <c r="G4" s="866"/>
      <c r="H4" s="770"/>
    </row>
    <row r="5" spans="1:8" s="45" customFormat="1" ht="15" customHeight="1">
      <c r="A5" s="378" t="s">
        <v>281</v>
      </c>
      <c r="B5" s="864"/>
      <c r="C5" s="864"/>
      <c r="D5" s="864"/>
      <c r="E5" s="865"/>
      <c r="F5" s="865"/>
      <c r="G5" s="866"/>
      <c r="H5" s="770"/>
    </row>
    <row r="6" spans="1:7" ht="15" customHeight="1">
      <c r="A6" s="17"/>
      <c r="E6" s="337"/>
      <c r="F6" s="337"/>
      <c r="G6" s="337"/>
    </row>
    <row r="7" spans="1:7" ht="30" customHeight="1">
      <c r="A7" s="47"/>
      <c r="B7" s="875" t="s">
        <v>337</v>
      </c>
      <c r="C7" s="875" t="s">
        <v>331</v>
      </c>
      <c r="D7" s="875" t="s">
        <v>351</v>
      </c>
      <c r="E7" s="875" t="s">
        <v>330</v>
      </c>
      <c r="F7" s="876" t="s">
        <v>338</v>
      </c>
      <c r="G7" s="877" t="s">
        <v>99</v>
      </c>
    </row>
    <row r="8" spans="1:7" ht="30" customHeight="1">
      <c r="A8" s="867" t="s">
        <v>329</v>
      </c>
      <c r="B8" s="311"/>
      <c r="C8" s="311"/>
      <c r="D8" s="311"/>
      <c r="G8" s="868"/>
    </row>
    <row r="9" spans="1:38" ht="15" customHeight="1">
      <c r="A9" s="18" t="s">
        <v>223</v>
      </c>
      <c r="B9" s="869">
        <f>'[12]Loss Expenses Paid YTD-16'!K33</f>
        <v>82722</v>
      </c>
      <c r="C9" s="869">
        <f>'[12]Loss Expenses Paid YTD-16'!K27</f>
        <v>607236</v>
      </c>
      <c r="D9" s="869">
        <f>'[12]Loss Expenses Paid YTD-16'!K21</f>
        <v>90318</v>
      </c>
      <c r="E9" s="869">
        <f>'[12]Loss Expenses Paid YTD-16'!K15</f>
        <v>22847</v>
      </c>
      <c r="F9" s="869">
        <f>'[12]Loss Expenses Paid YTD-16'!K9</f>
        <v>15557</v>
      </c>
      <c r="G9" s="869">
        <f>SUM(B9:F9)</f>
        <v>818680</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224</v>
      </c>
      <c r="B10" s="122">
        <f>'[12]Loss Expenses Paid YTD-16'!K34</f>
        <v>49384</v>
      </c>
      <c r="C10" s="122">
        <f>'[12]Loss Expenses Paid YTD-16'!K28</f>
        <v>177787</v>
      </c>
      <c r="D10" s="122">
        <f>'[12]Loss Expenses Paid YTD-16'!K22</f>
        <v>14431</v>
      </c>
      <c r="E10" s="122">
        <f>'[12]Loss Expenses Paid YTD-16'!K16</f>
        <v>4657</v>
      </c>
      <c r="F10" s="122">
        <f>'[12]Loss Expenses Paid YTD-16'!K10</f>
        <v>10673</v>
      </c>
      <c r="G10" s="122">
        <f>SUM(B10:F10)</f>
        <v>256932</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225</v>
      </c>
      <c r="B11" s="122">
        <f>'[12]Loss Expenses Paid YTD-16'!K35</f>
        <v>0</v>
      </c>
      <c r="C11" s="122">
        <f>'[12]Loss Expenses Paid YTD-16'!K29</f>
        <v>650</v>
      </c>
      <c r="D11" s="122">
        <f>'[12]Loss Expenses Paid YTD-16'!K23</f>
        <v>0</v>
      </c>
      <c r="E11" s="122">
        <f>'[12]Loss Expenses Paid YTD-16'!K17</f>
        <v>0</v>
      </c>
      <c r="F11" s="122">
        <f>'[12]Loss Expenses Paid YTD-16'!K11</f>
        <v>0</v>
      </c>
      <c r="G11" s="122">
        <f>SUM(B11:F11)</f>
        <v>650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226</v>
      </c>
      <c r="B12" s="332">
        <f aca="true" t="shared" si="0" ref="B12:G12">SUM(B9:B11)</f>
        <v>132106</v>
      </c>
      <c r="C12" s="332">
        <f t="shared" si="0"/>
        <v>785673</v>
      </c>
      <c r="D12" s="332">
        <f t="shared" si="0"/>
        <v>104749</v>
      </c>
      <c r="E12" s="332">
        <f t="shared" si="0"/>
        <v>27504</v>
      </c>
      <c r="F12" s="332">
        <f t="shared" si="0"/>
        <v>26230</v>
      </c>
      <c r="G12" s="129">
        <f t="shared" si="0"/>
        <v>1076262</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280</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223</v>
      </c>
      <c r="B15" s="126">
        <f>'[12]Unpaid Loss Expense Reserves-14'!B22</f>
        <v>148641</v>
      </c>
      <c r="C15" s="126">
        <f>'[12]Unpaid Loss Expense Reserves-14'!C22</f>
        <v>173447</v>
      </c>
      <c r="D15" s="126">
        <f>'[12]Unpaid Loss Expense Reserves-14'!D22</f>
        <v>40267</v>
      </c>
      <c r="E15" s="122">
        <f>'[12]Unpaid Loss Expense Reserves-14'!E22</f>
        <v>10985</v>
      </c>
      <c r="F15" s="122">
        <f>'[12]Unpaid Loss Expense Reserves-14'!F22</f>
        <v>2578</v>
      </c>
      <c r="G15" s="122">
        <f>SUM(B15:F15)</f>
        <v>375918</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224</v>
      </c>
      <c r="B16" s="126">
        <f>'[12]Unpaid Loss Expense Reserves-14'!B23</f>
        <v>14069</v>
      </c>
      <c r="C16" s="126">
        <f>'[12]Unpaid Loss Expense Reserves-14'!C23</f>
        <v>16623</v>
      </c>
      <c r="D16" s="126">
        <f>'[12]Unpaid Loss Expense Reserves-14'!D23</f>
        <v>1223</v>
      </c>
      <c r="E16" s="122">
        <f>'[12]Unpaid Loss Expense Reserves-14'!E23</f>
        <v>1141</v>
      </c>
      <c r="F16" s="122">
        <f>'[12]Unpaid Loss Expense Reserves-14'!F23</f>
        <v>4018</v>
      </c>
      <c r="G16" s="122">
        <f>SUM(B16:F16)</f>
        <v>37074</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225</v>
      </c>
      <c r="B17" s="122">
        <f>'[12]Unpaid Loss Expense Reserves-14'!B24</f>
        <v>0</v>
      </c>
      <c r="C17" s="122">
        <f>'[12]Unpaid Loss Expense Reserves-14'!C24</f>
        <v>0</v>
      </c>
      <c r="D17" s="122">
        <f>'[12]Unpaid Loss Expense Reserves-14'!D24</f>
        <v>0</v>
      </c>
      <c r="E17" s="122">
        <f>'[12]Unpaid Loss Expense Reserves-14'!E24</f>
        <v>0</v>
      </c>
      <c r="F17" s="122">
        <f>'[12]Unpaid Loss Expense Reserves-14'!F24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226</v>
      </c>
      <c r="B18" s="138">
        <f aca="true" t="shared" si="1" ref="B18:G18">SUM(B15:B17)</f>
        <v>162710</v>
      </c>
      <c r="C18" s="138">
        <f t="shared" si="1"/>
        <v>190070</v>
      </c>
      <c r="D18" s="138">
        <f t="shared" si="1"/>
        <v>41490</v>
      </c>
      <c r="E18" s="332">
        <f t="shared" si="1"/>
        <v>12126</v>
      </c>
      <c r="F18" s="332">
        <f t="shared" si="1"/>
        <v>6596</v>
      </c>
      <c r="G18" s="129">
        <f t="shared" si="1"/>
        <v>412992</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339</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223</v>
      </c>
      <c r="B21" s="126">
        <v>0</v>
      </c>
      <c r="C21" s="126">
        <v>260842.87</v>
      </c>
      <c r="D21" s="126">
        <v>136364.92</v>
      </c>
      <c r="E21" s="122">
        <v>207.49</v>
      </c>
      <c r="F21" s="122">
        <v>6841.56</v>
      </c>
      <c r="G21" s="122">
        <f>SUM(B21:F21)</f>
        <v>404256.84</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246</v>
      </c>
      <c r="B22" s="126">
        <v>0</v>
      </c>
      <c r="C22" s="126">
        <v>10869.24</v>
      </c>
      <c r="D22" s="126">
        <v>11582.88</v>
      </c>
      <c r="E22" s="122">
        <v>25759.58</v>
      </c>
      <c r="F22" s="122">
        <v>10058.84</v>
      </c>
      <c r="G22" s="122">
        <f>SUM(B22:F22)</f>
        <v>58270.53999999999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225</v>
      </c>
      <c r="B23" s="126">
        <v>0</v>
      </c>
      <c r="C23" s="126">
        <v>112.79</v>
      </c>
      <c r="D23" s="126">
        <v>0</v>
      </c>
      <c r="E23" s="122">
        <v>0</v>
      </c>
      <c r="F23" s="122">
        <v>0</v>
      </c>
      <c r="G23" s="122">
        <f>SUM(B23:F23)</f>
        <v>112.79</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226</v>
      </c>
      <c r="B24" s="138">
        <f>SUM(B21:B23)</f>
        <v>0</v>
      </c>
      <c r="C24" s="138">
        <f>SUM(C21:C23)</f>
        <v>271824.89999999997</v>
      </c>
      <c r="D24" s="138">
        <f>SUM(D21:D23)</f>
        <v>147947.80000000002</v>
      </c>
      <c r="E24" s="332">
        <f>SUM(E21:E23)</f>
        <v>25967.070000000003</v>
      </c>
      <c r="F24" s="332">
        <f>SUM(F21:F23)+1</f>
        <v>16901.4</v>
      </c>
      <c r="G24" s="129">
        <f>SUM(G21:G23)+1</f>
        <v>462641.17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301</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223</v>
      </c>
      <c r="B27" s="122">
        <f aca="true" t="shared" si="2" ref="B27:F29">B9+B15-B21</f>
        <v>231363</v>
      </c>
      <c r="C27" s="122">
        <f t="shared" si="2"/>
        <v>519840.13</v>
      </c>
      <c r="D27" s="908">
        <f>D9+D15-D21</f>
        <v>-5779.920000000013</v>
      </c>
      <c r="E27" s="908">
        <f>E9+E15-E21</f>
        <v>33624.51</v>
      </c>
      <c r="F27" s="908">
        <f t="shared" si="2"/>
        <v>11293.439999999999</v>
      </c>
      <c r="G27" s="122">
        <f>SUM(B27:F27)</f>
        <v>790341.1599999999</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224</v>
      </c>
      <c r="B28" s="122">
        <f>B10+B16-B22</f>
        <v>63453</v>
      </c>
      <c r="C28" s="122">
        <f>C10+C16-C22</f>
        <v>183540.76</v>
      </c>
      <c r="D28" s="122">
        <f>D10+D16-D22</f>
        <v>4071.120000000001</v>
      </c>
      <c r="E28" s="908">
        <f t="shared" si="2"/>
        <v>-19961.58</v>
      </c>
      <c r="F28" s="122">
        <f t="shared" si="2"/>
        <v>4632.16</v>
      </c>
      <c r="G28" s="122">
        <f>SUM(B28:F28)</f>
        <v>235735.46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225</v>
      </c>
      <c r="B29" s="122">
        <f t="shared" si="2"/>
        <v>0</v>
      </c>
      <c r="C29" s="122">
        <f>C11+C17-C23</f>
        <v>537.21</v>
      </c>
      <c r="D29" s="122">
        <f t="shared" si="2"/>
        <v>0</v>
      </c>
      <c r="E29" s="122">
        <f t="shared" si="2"/>
        <v>0</v>
      </c>
      <c r="F29" s="122">
        <f t="shared" si="2"/>
        <v>0</v>
      </c>
      <c r="G29" s="122">
        <f>SUM(B29:F29)</f>
        <v>537.21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226</v>
      </c>
      <c r="B30" s="343">
        <f>SUM(B27:B29)</f>
        <v>294816</v>
      </c>
      <c r="C30" s="343">
        <f>SUM(C27:C29)</f>
        <v>703918.1</v>
      </c>
      <c r="D30" s="909">
        <f>SUM(D27:D29)</f>
        <v>-1708.800000000012</v>
      </c>
      <c r="E30" s="343">
        <f>SUM(E27:E29)</f>
        <v>13662.93</v>
      </c>
      <c r="F30" s="343">
        <f>SUM(F27:F29)-1</f>
        <v>15924.599999999999</v>
      </c>
      <c r="G30" s="343">
        <f>SUM(G27:G29)-1</f>
        <v>1026612.8299999998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98</v>
      </c>
      <c r="B1" s="307"/>
      <c r="C1" s="307"/>
      <c r="D1" s="324"/>
      <c r="E1" s="324"/>
      <c r="F1" s="324"/>
      <c r="G1" s="325"/>
    </row>
    <row r="2" spans="1:7" ht="19.5" customHeight="1">
      <c r="A2" s="19"/>
      <c r="B2" s="308"/>
      <c r="C2" s="308"/>
      <c r="D2" s="326"/>
      <c r="E2" s="326"/>
      <c r="F2" s="308"/>
      <c r="G2" s="308"/>
    </row>
    <row r="3" spans="1:7" s="103" customFormat="1" ht="18.75">
      <c r="A3" s="102" t="s">
        <v>232</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393</v>
      </c>
      <c r="C6" s="310" t="s">
        <v>397</v>
      </c>
      <c r="D6" s="322" t="s">
        <v>493</v>
      </c>
      <c r="E6" s="322" t="s">
        <v>60</v>
      </c>
      <c r="F6" s="322" t="s">
        <v>448</v>
      </c>
      <c r="G6" s="323" t="s">
        <v>99</v>
      </c>
    </row>
    <row r="7" spans="1:7" ht="15.75">
      <c r="A7" s="105" t="s">
        <v>233</v>
      </c>
      <c r="D7" s="330"/>
      <c r="E7" s="330"/>
      <c r="F7" s="330"/>
      <c r="G7" s="330"/>
    </row>
    <row r="8" spans="1:8" ht="15">
      <c r="A8" s="105" t="s">
        <v>234</v>
      </c>
      <c r="B8" s="311"/>
      <c r="C8" s="311"/>
      <c r="D8" s="330"/>
      <c r="E8" s="330"/>
      <c r="F8" s="330"/>
      <c r="G8" s="330"/>
      <c r="H8" s="114"/>
    </row>
    <row r="9" spans="1:8" ht="14.25">
      <c r="A9" s="106" t="s">
        <v>235</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81</v>
      </c>
    </row>
    <row r="10" spans="1:8" s="23" customFormat="1" ht="14.25">
      <c r="A10" s="107" t="s">
        <v>236</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82</v>
      </c>
    </row>
    <row r="11" spans="1:8" s="23" customFormat="1" ht="14.25">
      <c r="A11" s="107" t="s">
        <v>237</v>
      </c>
      <c r="B11" s="315" t="e">
        <f>+'[1]TB03-31-04(Final)'!D386</f>
        <v>#REF!</v>
      </c>
      <c r="C11" s="315" t="e">
        <f>+'[1]TB03-31-04(Final)'!F385</f>
        <v>#REF!</v>
      </c>
      <c r="D11" s="315" t="e">
        <f>+'[1]TB03-31-04(Final)'!F384</f>
        <v>#REF!</v>
      </c>
      <c r="E11" s="315">
        <f>+'[1]TB03-31-04(Final)'!F382</f>
        <v>0</v>
      </c>
      <c r="F11" s="315">
        <f>+'[1]TB03-31-04(Final)'!F381</f>
        <v>0</v>
      </c>
      <c r="G11" s="331" t="e">
        <f>SUM(B11:F11)</f>
        <v>#REF!</v>
      </c>
      <c r="H11" s="25" t="s">
        <v>83</v>
      </c>
    </row>
    <row r="12" spans="1:8" s="23" customFormat="1" ht="15.75" thickBot="1">
      <c r="A12" s="108" t="s">
        <v>226</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502</v>
      </c>
      <c r="B14" s="126"/>
      <c r="C14" s="126"/>
      <c r="D14" s="331"/>
      <c r="E14" s="331"/>
      <c r="F14" s="331"/>
      <c r="G14" s="331"/>
    </row>
    <row r="15" spans="1:7" s="23" customFormat="1" ht="14.25">
      <c r="A15" s="106" t="s">
        <v>238</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239</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240</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226</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49</v>
      </c>
      <c r="B20" s="312" t="s">
        <v>97</v>
      </c>
      <c r="C20" s="312" t="s">
        <v>97</v>
      </c>
      <c r="D20" s="331"/>
      <c r="E20" s="331"/>
      <c r="F20" s="331"/>
      <c r="G20" s="331"/>
    </row>
    <row r="21" spans="1:7" s="23" customFormat="1" ht="14.25">
      <c r="A21" s="106" t="s">
        <v>238</v>
      </c>
      <c r="B21" s="126">
        <v>0</v>
      </c>
      <c r="C21" s="126">
        <v>3812745.98</v>
      </c>
      <c r="D21" s="331">
        <v>796383.95</v>
      </c>
      <c r="E21" s="331">
        <v>173012</v>
      </c>
      <c r="F21" s="331">
        <f>4+76330.03</f>
        <v>76334.03</v>
      </c>
      <c r="G21" s="331">
        <f>SUM(B21:F21)</f>
        <v>4858475.96</v>
      </c>
    </row>
    <row r="22" spans="1:7" s="23" customFormat="1" ht="14.25">
      <c r="A22" s="106" t="s">
        <v>239</v>
      </c>
      <c r="B22" s="126">
        <v>0</v>
      </c>
      <c r="C22" s="126">
        <v>582572.89</v>
      </c>
      <c r="D22" s="331">
        <v>136273.61</v>
      </c>
      <c r="E22" s="331">
        <v>-982</v>
      </c>
      <c r="F22" s="331">
        <f>365.82+1967</f>
        <v>2332.82</v>
      </c>
      <c r="G22" s="331">
        <f>SUM(B22:F22)</f>
        <v>720197.32</v>
      </c>
    </row>
    <row r="23" spans="1:7" s="23" customFormat="1" ht="14.25">
      <c r="A23" s="106" t="s">
        <v>240</v>
      </c>
      <c r="B23" s="126">
        <v>0</v>
      </c>
      <c r="C23" s="126">
        <v>8803.51</v>
      </c>
      <c r="D23" s="331">
        <v>0</v>
      </c>
      <c r="E23" s="331">
        <v>0</v>
      </c>
      <c r="F23" s="331">
        <v>0</v>
      </c>
      <c r="G23" s="331">
        <f>SUM(B23:F23)</f>
        <v>8803.51</v>
      </c>
    </row>
    <row r="24" spans="1:8" s="23" customFormat="1" ht="15.75" thickBot="1">
      <c r="A24" s="108" t="s">
        <v>226</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241</v>
      </c>
      <c r="B26" s="126"/>
      <c r="C26" s="126"/>
      <c r="D26" s="331"/>
      <c r="E26" s="331"/>
      <c r="F26" s="331"/>
      <c r="G26" s="331"/>
    </row>
    <row r="27" spans="1:9" s="23" customFormat="1" ht="14.25">
      <c r="A27" s="106" t="s">
        <v>238</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214</v>
      </c>
      <c r="I27" s="23" t="s">
        <v>217</v>
      </c>
    </row>
    <row r="28" spans="1:8" s="23" customFormat="1" ht="14.25">
      <c r="A28" s="106" t="s">
        <v>239</v>
      </c>
      <c r="B28" s="331" t="e">
        <f t="shared" si="1"/>
        <v>#REF!</v>
      </c>
      <c r="C28" s="331" t="e">
        <f t="shared" si="1"/>
        <v>#REF!</v>
      </c>
      <c r="D28" s="331" t="e">
        <f t="shared" si="2"/>
        <v>#REF!</v>
      </c>
      <c r="E28" s="331">
        <f t="shared" si="2"/>
        <v>70972.57</v>
      </c>
      <c r="F28" s="331" t="e">
        <f>F10+(F16-F22)</f>
        <v>#REF!</v>
      </c>
      <c r="G28" s="331" t="e">
        <f>SUM(B28:F28)</f>
        <v>#REF!</v>
      </c>
      <c r="H28" s="25" t="s">
        <v>215</v>
      </c>
    </row>
    <row r="29" spans="1:8" s="23" customFormat="1" ht="14.25">
      <c r="A29" s="106" t="s">
        <v>240</v>
      </c>
      <c r="B29" s="331" t="e">
        <f t="shared" si="1"/>
        <v>#REF!</v>
      </c>
      <c r="C29" s="331" t="e">
        <f t="shared" si="1"/>
        <v>#REF!</v>
      </c>
      <c r="D29" s="331" t="e">
        <f t="shared" si="2"/>
        <v>#REF!</v>
      </c>
      <c r="E29" s="331">
        <f t="shared" si="2"/>
        <v>0</v>
      </c>
      <c r="F29" s="331" t="e">
        <f>F11+(F17-F23)</f>
        <v>#REF!</v>
      </c>
      <c r="G29" s="331" t="e">
        <f>SUM(B29:F29)</f>
        <v>#REF!</v>
      </c>
      <c r="H29" s="25" t="s">
        <v>216</v>
      </c>
    </row>
    <row r="30" spans="1:9" ht="15.75" thickBot="1">
      <c r="A30" s="108" t="s">
        <v>226</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277</v>
      </c>
      <c r="D33" s="348"/>
      <c r="E33" s="348"/>
      <c r="F33" s="348"/>
      <c r="G33" s="349" t="s">
        <v>275</v>
      </c>
    </row>
    <row r="34" spans="1:7" ht="14.25">
      <c r="A34" s="106" t="s">
        <v>238</v>
      </c>
      <c r="B34" s="126">
        <f>468189.06-222137.25</f>
        <v>246051.81</v>
      </c>
      <c r="C34" s="126">
        <f>468189.06-222137.25</f>
        <v>246051.81</v>
      </c>
      <c r="D34" s="126">
        <f>448199.18-670918.35</f>
        <v>-222719.16999999998</v>
      </c>
      <c r="E34" s="350">
        <v>0</v>
      </c>
      <c r="F34" s="350">
        <v>0</v>
      </c>
      <c r="G34" s="122">
        <f>SUM(B34:F34)</f>
        <v>269384.45</v>
      </c>
    </row>
    <row r="35" spans="1:7" ht="14.25">
      <c r="A35" s="106" t="s">
        <v>239</v>
      </c>
      <c r="B35" s="126">
        <f>175542.97-81939.83</f>
        <v>93603.14</v>
      </c>
      <c r="C35" s="126">
        <f>175542.97-81939.83</f>
        <v>93603.14</v>
      </c>
      <c r="D35" s="126">
        <f>180110.78-278566.43</f>
        <v>-98455.65</v>
      </c>
      <c r="E35" s="350">
        <v>0</v>
      </c>
      <c r="F35" s="350">
        <v>0</v>
      </c>
      <c r="G35" s="122">
        <f>SUM(B35:F35)</f>
        <v>88750.63</v>
      </c>
    </row>
    <row r="36" spans="1:7" ht="14.25">
      <c r="A36" s="106" t="s">
        <v>240</v>
      </c>
      <c r="B36" s="126">
        <f>3215.61-1526.93</f>
        <v>1688.68</v>
      </c>
      <c r="C36" s="126">
        <f>3215.61-1526.93</f>
        <v>1688.68</v>
      </c>
      <c r="D36" s="126">
        <f>3443.46-5433.83</f>
        <v>-1990.37</v>
      </c>
      <c r="E36" s="350">
        <v>0</v>
      </c>
      <c r="F36" s="350">
        <v>0</v>
      </c>
      <c r="G36" s="122">
        <f>SUM(B36:F36)</f>
        <v>1386.9900000000002</v>
      </c>
    </row>
    <row r="37" spans="1:7" ht="15.75" thickBot="1">
      <c r="A37" s="108" t="s">
        <v>226</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117</v>
      </c>
      <c r="B39" s="322" t="s">
        <v>397</v>
      </c>
      <c r="C39" s="322" t="s">
        <v>397</v>
      </c>
      <c r="D39" s="322" t="s">
        <v>493</v>
      </c>
      <c r="E39" s="322" t="s">
        <v>60</v>
      </c>
      <c r="F39" s="322" t="s">
        <v>132</v>
      </c>
      <c r="G39" s="323" t="s">
        <v>99</v>
      </c>
      <c r="H39" s="251"/>
    </row>
    <row r="40" spans="2:8" ht="15.75">
      <c r="B40" s="313"/>
      <c r="C40" s="313"/>
      <c r="D40" s="318"/>
      <c r="E40" s="318"/>
      <c r="F40" s="320"/>
      <c r="G40" s="315"/>
      <c r="H40" s="252" t="e">
        <f>+'[1]TB03-31-04(Final)'!G455</f>
        <v>#REF!</v>
      </c>
    </row>
    <row r="41" spans="1:8" ht="12.75" customHeight="1">
      <c r="A41" s="106" t="s">
        <v>238</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239</v>
      </c>
      <c r="B42" s="314" t="e">
        <f>+B28-B35</f>
        <v>#REF!</v>
      </c>
      <c r="C42" s="314" t="e">
        <f t="shared" si="4"/>
        <v>#REF!</v>
      </c>
      <c r="D42" s="314" t="e">
        <f t="shared" si="4"/>
        <v>#REF!</v>
      </c>
      <c r="E42" s="314">
        <f t="shared" si="4"/>
        <v>70972.57</v>
      </c>
      <c r="F42" s="314" t="e">
        <f t="shared" si="4"/>
        <v>#REF!</v>
      </c>
      <c r="G42" s="315" t="e">
        <f>SUM(C42:F42)</f>
        <v>#REF!</v>
      </c>
      <c r="H42" s="96"/>
    </row>
    <row r="43" spans="1:8" ht="14.25">
      <c r="A43" s="106" t="s">
        <v>240</v>
      </c>
      <c r="B43" s="314" t="e">
        <f>+B29-B36</f>
        <v>#REF!</v>
      </c>
      <c r="C43" s="314" t="e">
        <f>+C29-C36</f>
        <v>#REF!</v>
      </c>
      <c r="D43" s="314" t="e">
        <f>+D29-D36</f>
        <v>#REF!</v>
      </c>
      <c r="E43" s="314">
        <f>+E29-E35</f>
        <v>0</v>
      </c>
      <c r="F43" s="314" t="e">
        <f>+F29-F35</f>
        <v>#REF!</v>
      </c>
      <c r="G43" s="315" t="e">
        <f>SUM(C43:F43)</f>
        <v>#REF!</v>
      </c>
      <c r="H43" s="96"/>
    </row>
    <row r="44" spans="1:8" ht="15.75" thickBot="1">
      <c r="A44" s="108" t="s">
        <v>226</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2" t="s">
        <v>98</v>
      </c>
      <c r="C1" s="953"/>
      <c r="D1" s="953"/>
      <c r="E1" s="953"/>
      <c r="F1" s="953"/>
      <c r="G1" s="953"/>
      <c r="H1" s="953"/>
      <c r="I1" s="954"/>
    </row>
    <row r="2" spans="2:9" s="11" customFormat="1" ht="19.5">
      <c r="B2" s="955"/>
      <c r="C2" s="956"/>
      <c r="D2" s="956"/>
      <c r="E2" s="956"/>
      <c r="F2" s="956"/>
      <c r="G2" s="605"/>
      <c r="H2" s="606"/>
      <c r="I2" s="607"/>
    </row>
    <row r="3" spans="2:9" s="12" customFormat="1" ht="16.5">
      <c r="B3" s="941" t="s">
        <v>53</v>
      </c>
      <c r="C3" s="942"/>
      <c r="D3" s="942"/>
      <c r="E3" s="942"/>
      <c r="F3" s="942"/>
      <c r="G3" s="942"/>
      <c r="H3" s="942"/>
      <c r="I3" s="943"/>
    </row>
    <row r="4" spans="2:9" s="12" customFormat="1" ht="16.5">
      <c r="B4" s="944" t="s">
        <v>501</v>
      </c>
      <c r="C4" s="945"/>
      <c r="D4" s="945"/>
      <c r="E4" s="945"/>
      <c r="F4" s="945"/>
      <c r="G4" s="945"/>
      <c r="H4" s="945"/>
      <c r="I4" s="940"/>
    </row>
    <row r="5" spans="2:9" ht="15">
      <c r="B5" s="608"/>
      <c r="C5" s="633"/>
      <c r="D5" s="633"/>
      <c r="E5" s="950" t="s">
        <v>485</v>
      </c>
      <c r="F5" s="950"/>
      <c r="G5" s="632"/>
      <c r="H5" s="950" t="s">
        <v>486</v>
      </c>
      <c r="I5" s="951"/>
    </row>
    <row r="6" spans="2:9" ht="45">
      <c r="B6" s="608"/>
      <c r="C6" s="609" t="s">
        <v>54</v>
      </c>
      <c r="D6" s="609" t="s">
        <v>55</v>
      </c>
      <c r="E6" s="609" t="s">
        <v>56</v>
      </c>
      <c r="F6" s="609" t="s">
        <v>57</v>
      </c>
      <c r="G6" s="610"/>
      <c r="H6" s="609" t="s">
        <v>56</v>
      </c>
      <c r="I6" s="631" t="s">
        <v>57</v>
      </c>
    </row>
    <row r="7" spans="1:9" ht="15">
      <c r="A7" s="14" t="s">
        <v>271</v>
      </c>
      <c r="B7" s="611" t="s">
        <v>100</v>
      </c>
      <c r="C7" s="473"/>
      <c r="D7" s="473"/>
      <c r="E7" s="473"/>
      <c r="F7" s="473"/>
      <c r="G7" s="610"/>
      <c r="H7" s="596"/>
      <c r="I7" s="596"/>
    </row>
    <row r="8" spans="1:9" ht="14.25">
      <c r="A8" s="14">
        <v>5</v>
      </c>
      <c r="B8" s="612" t="s">
        <v>58</v>
      </c>
      <c r="C8" s="474"/>
      <c r="D8" s="474"/>
      <c r="E8" s="474"/>
      <c r="F8" s="474"/>
      <c r="G8" s="613"/>
      <c r="H8" s="597"/>
      <c r="I8" s="597"/>
    </row>
    <row r="9" spans="2:9" ht="14.25">
      <c r="B9" s="612" t="s">
        <v>59</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492</v>
      </c>
      <c r="C10" s="482">
        <v>0</v>
      </c>
      <c r="D10" s="482">
        <f>+'[1]TB03-31-04(Final)'!G25</f>
        <v>10038.47</v>
      </c>
      <c r="E10" s="482">
        <v>0</v>
      </c>
      <c r="F10" s="482">
        <f>SUM(C10:E10)</f>
        <v>10038.47</v>
      </c>
      <c r="G10" s="613"/>
      <c r="H10" s="597"/>
      <c r="I10" s="599">
        <f>+'[7]Balance Sheet (pg 1)'!$E$10</f>
        <v>9035.63</v>
      </c>
    </row>
    <row r="11" spans="1:9" ht="14.25" customHeight="1">
      <c r="A11" s="14">
        <v>18</v>
      </c>
      <c r="B11" s="612" t="s">
        <v>102</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104</v>
      </c>
      <c r="C12" s="482">
        <f>+'[1]TB03-31-04(Final)'!G1033</f>
        <v>52339.42</v>
      </c>
      <c r="D12" s="482">
        <v>0</v>
      </c>
      <c r="E12" s="482">
        <v>0</v>
      </c>
      <c r="F12" s="482">
        <f>+C12-E12</f>
        <v>52339.42</v>
      </c>
      <c r="G12" s="613"/>
      <c r="H12" s="597"/>
      <c r="I12" s="600">
        <f>+'[7]Balance Sheet (pg 1)'!$E$12</f>
        <v>20473.260000000002</v>
      </c>
    </row>
    <row r="13" spans="1:9" ht="15.75" customHeight="1">
      <c r="A13" s="14">
        <v>18</v>
      </c>
      <c r="B13" s="612" t="s">
        <v>105</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0</v>
      </c>
      <c r="C14" s="482">
        <v>0</v>
      </c>
      <c r="D14" s="482">
        <v>0</v>
      </c>
      <c r="E14" s="482">
        <v>0</v>
      </c>
      <c r="F14" s="482">
        <f>+C14-E14</f>
        <v>0</v>
      </c>
      <c r="G14" s="613"/>
      <c r="H14" s="603">
        <f>+'[7]Balance Sheet (pg 1)'!$D$16</f>
        <v>335155</v>
      </c>
      <c r="I14" s="600">
        <f>+'[7]Balance Sheet (pg 1)'!$E$16</f>
        <v>0</v>
      </c>
    </row>
    <row r="15" spans="1:9" ht="14.25">
      <c r="A15" s="14">
        <v>23</v>
      </c>
      <c r="B15" s="615" t="s">
        <v>1</v>
      </c>
      <c r="C15" s="604">
        <v>0</v>
      </c>
      <c r="D15" s="604">
        <v>0</v>
      </c>
      <c r="E15" s="604">
        <f>C15</f>
        <v>0</v>
      </c>
      <c r="F15" s="604">
        <f>+C15-E15</f>
        <v>0</v>
      </c>
      <c r="G15" s="616"/>
      <c r="H15" s="603">
        <v>42501</v>
      </c>
      <c r="I15" s="602">
        <f>+'[7]Balance Sheet (pg 1)'!$E$14</f>
        <v>0</v>
      </c>
    </row>
    <row r="16" spans="1:9" ht="14.25">
      <c r="A16" s="14">
        <v>23</v>
      </c>
      <c r="B16" s="614" t="s">
        <v>2</v>
      </c>
      <c r="C16" s="483" t="e">
        <f>+'[1]TB03-31-04(Final)'!F1025</f>
        <v>#REF!</v>
      </c>
      <c r="D16" s="482">
        <v>0</v>
      </c>
      <c r="E16" s="482">
        <v>0</v>
      </c>
      <c r="F16" s="482" t="e">
        <f>+C16-D16-E16</f>
        <v>#REF!</v>
      </c>
      <c r="G16" s="613"/>
      <c r="H16" s="603">
        <f>+'[7]Balance Sheet (pg 1)'!$D$17</f>
        <v>4979.98</v>
      </c>
      <c r="I16" s="600">
        <f>+'[7]Balance Sheet (pg 1)'!$E$17</f>
        <v>0</v>
      </c>
    </row>
    <row r="17" spans="2:9" ht="15">
      <c r="B17" s="617" t="s">
        <v>106</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270</v>
      </c>
      <c r="B19" s="621" t="s">
        <v>107</v>
      </c>
      <c r="C19" s="476"/>
      <c r="D19" s="476"/>
      <c r="E19" s="476"/>
      <c r="F19" s="476"/>
      <c r="G19" s="613"/>
      <c r="H19" s="22"/>
      <c r="I19" s="620"/>
    </row>
    <row r="20" spans="1:9" ht="15">
      <c r="A20" s="14">
        <v>1</v>
      </c>
      <c r="B20" s="622" t="s">
        <v>488</v>
      </c>
      <c r="C20" s="476"/>
      <c r="D20" s="477"/>
      <c r="E20" s="485">
        <f>-'[1]TB3-31-04 (Pre)'!F199</f>
        <v>47682</v>
      </c>
      <c r="F20" s="477"/>
      <c r="G20" s="613"/>
      <c r="H20" s="342">
        <f>+'[7]Balance Sheet (pg 1)'!$D$26</f>
        <v>91297.81</v>
      </c>
      <c r="I20" s="620"/>
    </row>
    <row r="21" spans="1:9" ht="15">
      <c r="A21" s="14">
        <v>3</v>
      </c>
      <c r="B21" s="622" t="s">
        <v>489</v>
      </c>
      <c r="C21" s="476"/>
      <c r="D21" s="477"/>
      <c r="E21" s="485">
        <f>-'[1]TB3-31-04 (Pre)'!F198</f>
        <v>6748.45</v>
      </c>
      <c r="F21" s="486"/>
      <c r="G21" s="613"/>
      <c r="H21" s="342"/>
      <c r="I21" s="620"/>
    </row>
    <row r="22" spans="1:9" ht="15">
      <c r="A22" s="14">
        <v>4</v>
      </c>
      <c r="B22" s="622" t="s">
        <v>490</v>
      </c>
      <c r="C22" s="476"/>
      <c r="D22" s="538"/>
      <c r="E22" s="485">
        <f>-'[1]TB03-31-04(Final)'!G272</f>
        <v>263743.5</v>
      </c>
      <c r="F22" s="476"/>
      <c r="G22" s="613"/>
      <c r="H22" s="342">
        <f>+'[7]Balance Sheet (pg 1)'!$D$25</f>
        <v>113994.26000000001</v>
      </c>
      <c r="I22" s="620"/>
    </row>
    <row r="23" spans="1:9" ht="15">
      <c r="A23" s="14">
        <v>5</v>
      </c>
      <c r="B23" s="622" t="s">
        <v>454</v>
      </c>
      <c r="C23" s="476"/>
      <c r="D23" s="538"/>
      <c r="E23" s="485">
        <f>-'[1]TB03-31-04(Final)'!G207</f>
        <v>20527.9</v>
      </c>
      <c r="F23" s="476"/>
      <c r="G23" s="613"/>
      <c r="H23" s="127">
        <f>-'[6]TB09-30-02(Final)'!$F$195</f>
        <v>37678.14</v>
      </c>
      <c r="I23" s="620"/>
    </row>
    <row r="24" spans="1:9" ht="15" customHeight="1">
      <c r="A24" s="14">
        <v>6</v>
      </c>
      <c r="B24" s="622" t="s">
        <v>491</v>
      </c>
      <c r="C24" s="476"/>
      <c r="D24" s="476"/>
      <c r="E24" s="485">
        <f>-'[1]TB03-31-04(Final)'!G199</f>
        <v>50113.97</v>
      </c>
      <c r="F24" s="476"/>
      <c r="G24" s="613"/>
      <c r="H24" s="342">
        <f>+'[7]Balance Sheet (pg 1)'!$D$37</f>
        <v>34740</v>
      </c>
      <c r="I24" s="620"/>
    </row>
    <row r="25" spans="1:9" ht="15">
      <c r="A25" s="14">
        <v>10</v>
      </c>
      <c r="B25" s="622" t="s">
        <v>368</v>
      </c>
      <c r="C25" s="476"/>
      <c r="D25" s="477"/>
      <c r="E25" s="485">
        <f>-'[1]TB03-31-04(Final)'!G267</f>
        <v>446013</v>
      </c>
      <c r="F25" s="476"/>
      <c r="G25" s="613"/>
      <c r="H25" s="342">
        <f>+'[7]Balance Sheet (pg 1)'!$D$24</f>
        <v>364716</v>
      </c>
      <c r="I25" s="620"/>
    </row>
    <row r="26" spans="1:9" ht="15">
      <c r="A26" s="14">
        <v>14</v>
      </c>
      <c r="B26" s="622" t="s">
        <v>3</v>
      </c>
      <c r="C26" s="476"/>
      <c r="D26" s="477"/>
      <c r="E26" s="485">
        <f>-'[1]TB03-31-04(Final)'!G256</f>
        <v>294617.31</v>
      </c>
      <c r="F26" s="476"/>
      <c r="G26" s="613"/>
      <c r="H26" s="342">
        <f>+'[7]Balance Sheet (pg 1)'!$D$23</f>
        <v>965550.22</v>
      </c>
      <c r="I26" s="620"/>
    </row>
    <row r="27" spans="1:9" ht="15">
      <c r="A27" s="14">
        <v>27</v>
      </c>
      <c r="B27" s="622" t="s">
        <v>303</v>
      </c>
      <c r="C27" s="476"/>
      <c r="D27" s="477"/>
      <c r="E27" s="485">
        <f>-'[1]TB03-31-04(Final)'!G258</f>
        <v>1290906</v>
      </c>
      <c r="F27" s="476"/>
      <c r="G27" s="613"/>
      <c r="H27" s="342">
        <f>+'[7]Balance Sheet (pg 1)'!$D$22</f>
        <v>618846.84</v>
      </c>
      <c r="I27" s="620"/>
    </row>
    <row r="28" spans="1:9" ht="15">
      <c r="A28" s="14">
        <v>27</v>
      </c>
      <c r="B28" s="622" t="s">
        <v>304</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4</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110</v>
      </c>
      <c r="C32" s="476"/>
      <c r="D32" s="476"/>
      <c r="E32" s="476"/>
      <c r="F32" s="476"/>
      <c r="G32" s="613"/>
      <c r="H32" s="342"/>
      <c r="I32" s="620"/>
    </row>
    <row r="33" spans="1:9" ht="15">
      <c r="A33" s="14">
        <v>9</v>
      </c>
      <c r="B33" s="622" t="s">
        <v>111</v>
      </c>
      <c r="C33" s="476"/>
      <c r="D33" s="477"/>
      <c r="E33" s="485">
        <f>-'[1]TB03-31-04(Final)'!G65</f>
        <v>11049613</v>
      </c>
      <c r="F33" s="476"/>
      <c r="G33" s="613"/>
      <c r="H33" s="342">
        <f>+'[7]Balance Sheet (pg 1)'!$D$31</f>
        <v>8776992</v>
      </c>
      <c r="I33" s="620"/>
    </row>
    <row r="34" spans="1:9" ht="15">
      <c r="A34" s="14">
        <v>114</v>
      </c>
      <c r="B34" s="622" t="s">
        <v>5</v>
      </c>
      <c r="C34" s="476"/>
      <c r="D34" s="477"/>
      <c r="E34" s="485">
        <f>-'[1]TB03-31-04(Final)'!G104</f>
        <v>6198399.7700000005</v>
      </c>
      <c r="F34" s="476"/>
      <c r="G34" s="613"/>
      <c r="H34" s="342">
        <f>+'[7]Balance Sheet (pg 1)'!$D$32</f>
        <v>5068927.600000001</v>
      </c>
      <c r="I34" s="620"/>
    </row>
    <row r="35" spans="1:9" ht="15">
      <c r="A35" s="14">
        <v>114</v>
      </c>
      <c r="B35" s="622" t="s">
        <v>6</v>
      </c>
      <c r="C35" s="476"/>
      <c r="D35" s="477"/>
      <c r="E35" s="485">
        <f>-'[1]TB03-31-04(Final)'!G121</f>
        <v>1364184.0999999999</v>
      </c>
      <c r="F35" s="476"/>
      <c r="G35" s="613"/>
      <c r="H35" s="342">
        <f>+'[7]Balance Sheet (pg 1)'!$D$33</f>
        <v>1302472.2</v>
      </c>
      <c r="I35" s="620"/>
    </row>
    <row r="36" spans="1:9" ht="15">
      <c r="A36" s="14">
        <v>114</v>
      </c>
      <c r="B36" s="622" t="s">
        <v>7</v>
      </c>
      <c r="C36" s="476"/>
      <c r="D36" s="477"/>
      <c r="E36" s="485">
        <f>-'[1]TB03-31-04(Final)'!G159</f>
        <v>524501</v>
      </c>
      <c r="F36" s="476"/>
      <c r="G36" s="613"/>
      <c r="H36" s="342">
        <f>+'[7]Balance Sheet (pg 1)'!$D$34</f>
        <v>394965.17999999993</v>
      </c>
      <c r="I36" s="620"/>
    </row>
    <row r="37" spans="1:9" ht="15">
      <c r="A37" s="14">
        <v>114</v>
      </c>
      <c r="B37" s="622" t="s">
        <v>8</v>
      </c>
      <c r="C37" s="477"/>
      <c r="D37" s="477"/>
      <c r="E37" s="485">
        <f>-'[1]TB03-31-04(Final)'!G193</f>
        <v>226567.97999999998</v>
      </c>
      <c r="F37" s="476"/>
      <c r="G37" s="613"/>
      <c r="H37" s="342">
        <f>+'[7]Balance Sheet (pg 1)'!$D$35</f>
        <v>127127.4</v>
      </c>
      <c r="I37" s="620"/>
    </row>
    <row r="38" spans="1:9" ht="15">
      <c r="A38" s="14">
        <v>5</v>
      </c>
      <c r="B38" s="622" t="s">
        <v>269</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228</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113</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114</v>
      </c>
      <c r="C44" s="476"/>
      <c r="D44" s="476"/>
      <c r="E44" s="477"/>
      <c r="F44" s="476"/>
      <c r="G44" s="613"/>
      <c r="H44" s="342"/>
      <c r="I44" s="620"/>
    </row>
    <row r="45" spans="2:9" ht="15">
      <c r="B45" s="622" t="s">
        <v>487</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115</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3" t="s">
        <v>98</v>
      </c>
      <c r="B1" s="1003"/>
      <c r="C1" s="1003"/>
      <c r="D1" s="1003"/>
      <c r="E1" s="1003"/>
      <c r="F1" s="1003"/>
      <c r="G1" s="1003"/>
      <c r="H1" s="1003"/>
    </row>
    <row r="2" spans="1:8" ht="19.5" customHeight="1">
      <c r="A2" s="1002"/>
      <c r="B2" s="1002"/>
      <c r="C2" s="1002"/>
      <c r="D2" s="1002"/>
      <c r="E2" s="1002"/>
      <c r="F2" s="1002"/>
      <c r="G2" s="1002"/>
      <c r="H2" s="1002"/>
    </row>
    <row r="3" spans="1:8" s="103" customFormat="1" ht="18.75">
      <c r="A3" s="1004" t="s">
        <v>232</v>
      </c>
      <c r="B3" s="1004"/>
      <c r="C3" s="1004"/>
      <c r="D3" s="1004"/>
      <c r="E3" s="1004"/>
      <c r="F3" s="1004"/>
      <c r="G3" s="1004"/>
      <c r="H3" s="1004"/>
    </row>
    <row r="4" spans="1:8" s="103" customFormat="1" ht="18.75">
      <c r="A4" s="1004" t="str">
        <f>+'(7)Premiums YTD8'!A4</f>
        <v>YTD PERIOD MARCH 31st, 2004</v>
      </c>
      <c r="B4" s="1004"/>
      <c r="C4" s="1004"/>
      <c r="D4" s="1004"/>
      <c r="E4" s="1004"/>
      <c r="F4" s="1004"/>
      <c r="G4" s="1004"/>
      <c r="H4" s="1004"/>
    </row>
    <row r="5" spans="1:8" s="103" customFormat="1" ht="16.5">
      <c r="A5" s="453"/>
      <c r="B5" s="376"/>
      <c r="C5" s="376"/>
      <c r="D5" s="454"/>
      <c r="E5" s="454"/>
      <c r="F5" s="454"/>
      <c r="G5" s="377"/>
      <c r="H5" s="454"/>
    </row>
    <row r="6" spans="1:8" ht="30" customHeight="1">
      <c r="A6" s="455"/>
      <c r="B6" s="570" t="s">
        <v>393</v>
      </c>
      <c r="C6" s="570" t="s">
        <v>397</v>
      </c>
      <c r="D6" s="570" t="s">
        <v>493</v>
      </c>
      <c r="E6" s="570" t="s">
        <v>60</v>
      </c>
      <c r="F6" s="570" t="s">
        <v>448</v>
      </c>
      <c r="G6" s="571" t="s">
        <v>80</v>
      </c>
      <c r="H6" s="571" t="s">
        <v>99</v>
      </c>
    </row>
    <row r="7" spans="1:8" s="127" customFormat="1" ht="15.75">
      <c r="A7" s="567" t="s">
        <v>233</v>
      </c>
      <c r="B7" s="456"/>
      <c r="C7" s="456"/>
      <c r="D7" s="457"/>
      <c r="E7" s="457"/>
      <c r="F7" s="457"/>
      <c r="G7" s="457"/>
      <c r="H7" s="457"/>
    </row>
    <row r="8" spans="1:8" s="127" customFormat="1" ht="15">
      <c r="A8" s="567" t="s">
        <v>234</v>
      </c>
      <c r="B8" s="375"/>
      <c r="C8" s="375"/>
      <c r="D8" s="457"/>
      <c r="E8" s="457"/>
      <c r="F8" s="457"/>
      <c r="G8" s="457"/>
      <c r="H8" s="457"/>
    </row>
    <row r="9" spans="1:9" ht="14.25">
      <c r="A9" s="568" t="s">
        <v>235</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236</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237</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226</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358</v>
      </c>
      <c r="B14" s="126"/>
      <c r="C14" s="126"/>
      <c r="D14" s="555"/>
      <c r="E14" s="555"/>
      <c r="F14" s="555"/>
      <c r="G14" s="331"/>
      <c r="H14" s="331"/>
      <c r="I14" s="287"/>
    </row>
    <row r="15" spans="1:8" s="23" customFormat="1" ht="14.25">
      <c r="A15" s="568" t="s">
        <v>238</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239</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240</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226</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49</v>
      </c>
      <c r="B20" s="312"/>
      <c r="C20" s="312"/>
      <c r="D20" s="331"/>
      <c r="E20" s="331"/>
      <c r="F20" s="331"/>
      <c r="G20" s="331"/>
      <c r="H20" s="331"/>
    </row>
    <row r="21" spans="1:8" s="23" customFormat="1" ht="14.25">
      <c r="A21" s="568" t="s">
        <v>238</v>
      </c>
      <c r="B21" s="126">
        <v>0</v>
      </c>
      <c r="C21" s="126">
        <v>3812746</v>
      </c>
      <c r="D21" s="331">
        <v>796384</v>
      </c>
      <c r="E21" s="331">
        <v>173012</v>
      </c>
      <c r="F21" s="331">
        <f>4+76330</f>
        <v>76334</v>
      </c>
      <c r="G21" s="331">
        <f>+'[3]Losses Incurred QTR'!$F$21</f>
        <v>149640.16</v>
      </c>
      <c r="H21" s="331">
        <f>SUM(B21:F21)</f>
        <v>4858476</v>
      </c>
    </row>
    <row r="22" spans="1:8" s="23" customFormat="1" ht="14.25">
      <c r="A22" s="568" t="s">
        <v>239</v>
      </c>
      <c r="B22" s="126">
        <v>0</v>
      </c>
      <c r="C22" s="126">
        <v>582573</v>
      </c>
      <c r="D22" s="331">
        <v>136274</v>
      </c>
      <c r="E22" s="331">
        <v>-982</v>
      </c>
      <c r="F22" s="331">
        <f>366+1967</f>
        <v>2333</v>
      </c>
      <c r="G22" s="331">
        <f>+'[3]Losses Incurred QTR'!$F$22</f>
        <v>60667.2</v>
      </c>
      <c r="H22" s="331">
        <f>SUM(B22:F22)-1</f>
        <v>720197</v>
      </c>
    </row>
    <row r="23" spans="1:8" s="23" customFormat="1" ht="14.25">
      <c r="A23" s="568" t="s">
        <v>240</v>
      </c>
      <c r="B23" s="126">
        <v>0</v>
      </c>
      <c r="C23" s="126">
        <v>8804</v>
      </c>
      <c r="D23" s="331">
        <v>0</v>
      </c>
      <c r="E23" s="331">
        <v>0</v>
      </c>
      <c r="F23" s="331">
        <v>0</v>
      </c>
      <c r="G23" s="331">
        <f>+'[3]Losses Incurred QTR'!$F$23</f>
        <v>-8764</v>
      </c>
      <c r="H23" s="331">
        <f>SUM(B23:F23)</f>
        <v>8804</v>
      </c>
    </row>
    <row r="24" spans="1:9" s="23" customFormat="1" ht="15.75" thickBot="1">
      <c r="A24" s="452" t="s">
        <v>226</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276</v>
      </c>
      <c r="B26" s="126"/>
      <c r="C26" s="126"/>
      <c r="D26" s="331"/>
      <c r="E26" s="331"/>
      <c r="F26" s="331"/>
      <c r="G26" s="331"/>
      <c r="H26" s="331"/>
      <c r="I26" s="23" t="e">
        <f>+H12+I25</f>
        <v>#REF!</v>
      </c>
    </row>
    <row r="27" spans="1:8" s="23" customFormat="1" ht="14.25">
      <c r="A27" s="568" t="s">
        <v>238</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239</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240</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226</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393</v>
      </c>
      <c r="C33" s="572" t="s">
        <v>397</v>
      </c>
      <c r="D33" s="573" t="s">
        <v>372</v>
      </c>
      <c r="E33" s="538"/>
      <c r="F33" s="538"/>
      <c r="G33" s="538"/>
      <c r="I33" s="110">
        <f>+'[1]TB03-31-04(Final)'!G462</f>
        <v>4105799.4900000007</v>
      </c>
    </row>
    <row r="34" spans="1:7" ht="18" customHeight="1">
      <c r="A34" s="569" t="s">
        <v>242</v>
      </c>
      <c r="B34" s="552"/>
      <c r="C34" s="552"/>
      <c r="D34" s="553"/>
      <c r="E34" s="553"/>
      <c r="F34" s="553"/>
      <c r="G34" s="478"/>
    </row>
    <row r="35" spans="1:7" ht="14.25">
      <c r="A35" s="568" t="s">
        <v>238</v>
      </c>
      <c r="B35" s="472">
        <f>+'[1](1)IBNR Cal13'!C27</f>
        <v>929888.0153114785</v>
      </c>
      <c r="C35" s="126">
        <v>0</v>
      </c>
      <c r="D35" s="357">
        <f>SUM(B35:C35)</f>
        <v>929888.0153114785</v>
      </c>
      <c r="E35" s="357"/>
      <c r="F35" s="357"/>
      <c r="G35" s="113"/>
    </row>
    <row r="36" spans="1:7" ht="14.25">
      <c r="A36" s="568" t="s">
        <v>239</v>
      </c>
      <c r="B36" s="126">
        <f>+'[1](1)IBNR Cal13'!C28</f>
        <v>302248.25796003203</v>
      </c>
      <c r="C36" s="126">
        <v>0</v>
      </c>
      <c r="D36" s="122">
        <f>SUM(B36:C36)</f>
        <v>302248.25796003203</v>
      </c>
      <c r="E36" s="304"/>
      <c r="F36" s="304"/>
      <c r="G36" s="122"/>
    </row>
    <row r="37" spans="1:7" ht="14.25">
      <c r="A37" s="568" t="s">
        <v>240</v>
      </c>
      <c r="B37" s="126">
        <f>+'[1](1)IBNR Cal13'!C29</f>
        <v>4148.069670959347</v>
      </c>
      <c r="C37" s="126">
        <v>0</v>
      </c>
      <c r="D37" s="122">
        <f>SUM(B37:C37)</f>
        <v>4148.069670959347</v>
      </c>
      <c r="E37" s="304"/>
      <c r="F37" s="304"/>
      <c r="G37" s="122"/>
    </row>
    <row r="38" spans="1:7" ht="15.75" thickBot="1">
      <c r="A38" s="452" t="s">
        <v>226</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484</v>
      </c>
      <c r="E50" s="321" t="s">
        <v>484</v>
      </c>
      <c r="F50" s="321" t="s">
        <v>484</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98</v>
      </c>
      <c r="B1" s="459"/>
      <c r="C1" s="423"/>
      <c r="D1" s="460"/>
      <c r="E1" s="460"/>
      <c r="F1" s="461"/>
      <c r="G1" s="461"/>
      <c r="H1" s="461"/>
    </row>
    <row r="2" spans="1:9" ht="18.75">
      <c r="A2" s="425"/>
      <c r="B2" s="425"/>
      <c r="C2" s="450"/>
      <c r="D2" s="450"/>
      <c r="E2" s="450"/>
      <c r="F2" s="426"/>
      <c r="G2" s="414"/>
      <c r="H2" s="414"/>
      <c r="I2" s="18"/>
    </row>
    <row r="3" spans="1:9" ht="15">
      <c r="A3" s="462" t="s">
        <v>243</v>
      </c>
      <c r="B3" s="462"/>
      <c r="C3" s="428"/>
      <c r="D3" s="463"/>
      <c r="E3" s="463"/>
      <c r="F3" s="414"/>
      <c r="G3" s="414"/>
      <c r="H3" s="414"/>
      <c r="I3" s="18"/>
    </row>
    <row r="4" spans="1:9" ht="15">
      <c r="A4" s="462" t="s">
        <v>244</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393</v>
      </c>
      <c r="C7" s="373" t="s">
        <v>397</v>
      </c>
      <c r="D7" s="466" t="s">
        <v>493</v>
      </c>
      <c r="E7" s="466" t="s">
        <v>60</v>
      </c>
      <c r="F7" s="466" t="s">
        <v>448</v>
      </c>
      <c r="G7" s="466" t="s">
        <v>80</v>
      </c>
      <c r="H7" s="467" t="s">
        <v>99</v>
      </c>
      <c r="I7" s="18"/>
    </row>
    <row r="8" spans="1:9" ht="30">
      <c r="A8" s="468" t="s">
        <v>245</v>
      </c>
      <c r="B8" s="372"/>
      <c r="C8" s="372"/>
      <c r="D8" s="380"/>
      <c r="E8" s="380"/>
      <c r="F8" s="380"/>
      <c r="G8" s="380"/>
      <c r="H8" s="469"/>
      <c r="I8" s="18"/>
    </row>
    <row r="9" spans="1:39" ht="14.25">
      <c r="A9" s="369" t="s">
        <v>223</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224</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225</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226</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360</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223</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224</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225</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226</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48</v>
      </c>
      <c r="B20" s="312" t="s">
        <v>97</v>
      </c>
      <c r="C20" s="312" t="s">
        <v>97</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223</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246</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225</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226</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247</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223</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224</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225</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226</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7" t="s">
        <v>98</v>
      </c>
      <c r="B1" s="1007"/>
      <c r="C1" s="1007"/>
      <c r="D1" s="1007"/>
      <c r="E1" s="1007"/>
      <c r="F1" s="338" t="s">
        <v>385</v>
      </c>
      <c r="G1" s="339" t="s">
        <v>38</v>
      </c>
      <c r="H1" s="149" t="s">
        <v>254</v>
      </c>
      <c r="I1" s="150" t="s">
        <v>385</v>
      </c>
      <c r="J1" s="150"/>
      <c r="K1" s="189" t="s">
        <v>93</v>
      </c>
      <c r="L1" s="231"/>
      <c r="M1" s="231"/>
      <c r="N1" s="231"/>
    </row>
    <row r="2" spans="1:11" ht="20.25">
      <c r="A2" s="1005" t="s">
        <v>95</v>
      </c>
      <c r="B2" s="1005"/>
      <c r="C2" s="1005"/>
      <c r="D2" s="1005"/>
      <c r="E2" s="1005"/>
      <c r="F2" s="151"/>
      <c r="G2" s="79"/>
      <c r="H2" s="75" t="s">
        <v>255</v>
      </c>
      <c r="I2" s="152"/>
      <c r="K2" s="190"/>
    </row>
    <row r="3" spans="1:11" ht="20.25">
      <c r="A3" s="1006">
        <v>37802</v>
      </c>
      <c r="B3" s="1006"/>
      <c r="C3" s="1006"/>
      <c r="D3" s="1006"/>
      <c r="E3" s="1006"/>
      <c r="F3" s="151"/>
      <c r="G3" s="153"/>
      <c r="H3" s="76"/>
      <c r="K3" s="190" t="s">
        <v>108</v>
      </c>
    </row>
    <row r="4" spans="1:11" ht="15.75">
      <c r="A4" s="2"/>
      <c r="B4" s="2" t="s">
        <v>35</v>
      </c>
      <c r="C4" s="2"/>
      <c r="D4" s="80"/>
      <c r="E4" s="80"/>
      <c r="F4" s="154" t="s">
        <v>256</v>
      </c>
      <c r="H4" s="76"/>
      <c r="K4" s="190"/>
    </row>
    <row r="5" spans="1:11" ht="15.75">
      <c r="A5" s="81"/>
      <c r="B5" s="82" t="s">
        <v>251</v>
      </c>
      <c r="C5" s="3" t="s">
        <v>252</v>
      </c>
      <c r="D5" s="83" t="s">
        <v>253</v>
      </c>
      <c r="E5" s="80"/>
      <c r="F5" s="155" t="s">
        <v>257</v>
      </c>
      <c r="G5" s="77" t="s">
        <v>258</v>
      </c>
      <c r="H5" s="75" t="s">
        <v>259</v>
      </c>
      <c r="I5" s="78" t="s">
        <v>260</v>
      </c>
      <c r="J5" s="75"/>
      <c r="K5" s="191" t="s">
        <v>261</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398</v>
      </c>
      <c r="H8" s="76" t="s">
        <v>404</v>
      </c>
      <c r="I8" s="76">
        <f>D9</f>
        <v>737754.17</v>
      </c>
      <c r="J8" s="84"/>
      <c r="K8" s="190"/>
      <c r="L8" s="230"/>
      <c r="M8" s="230"/>
      <c r="N8" s="230"/>
    </row>
    <row r="9" spans="1:14" ht="15.75">
      <c r="A9" s="87" t="s">
        <v>223</v>
      </c>
      <c r="B9" s="199">
        <f>-'[1](1)IBNR Cal13'!C21</f>
        <v>0</v>
      </c>
      <c r="C9" s="199">
        <v>-737754.17</v>
      </c>
      <c r="D9" s="199">
        <f>B9-C9</f>
        <v>737754.17</v>
      </c>
      <c r="E9" s="160"/>
      <c r="F9" s="161"/>
      <c r="G9" s="76" t="s">
        <v>399</v>
      </c>
      <c r="H9" s="76" t="s">
        <v>405</v>
      </c>
      <c r="I9" s="76">
        <f>D10</f>
        <v>272517.95</v>
      </c>
      <c r="J9" s="84"/>
      <c r="K9" s="190"/>
      <c r="L9" s="230"/>
      <c r="M9" s="230"/>
      <c r="N9" s="230"/>
    </row>
    <row r="10" spans="1:14" ht="15.75">
      <c r="A10" s="87" t="s">
        <v>246</v>
      </c>
      <c r="B10" s="199">
        <f>-'[1](1)IBNR Cal13'!C22</f>
        <v>0</v>
      </c>
      <c r="C10" s="199">
        <v>-272517.95</v>
      </c>
      <c r="D10" s="199">
        <f>B10-C10</f>
        <v>272517.95</v>
      </c>
      <c r="E10" s="160"/>
      <c r="F10" s="161"/>
      <c r="G10" s="76" t="s">
        <v>400</v>
      </c>
      <c r="H10" s="76" t="s">
        <v>406</v>
      </c>
      <c r="I10" s="76">
        <f>D11</f>
        <v>4757.34</v>
      </c>
      <c r="J10" s="84"/>
      <c r="K10" s="190"/>
      <c r="L10" s="230"/>
      <c r="M10" s="230"/>
      <c r="N10" s="230"/>
    </row>
    <row r="11" spans="1:14" ht="15.75">
      <c r="A11" s="87" t="s">
        <v>225</v>
      </c>
      <c r="B11" s="293">
        <f>-'[1](1)IBNR Cal13'!C23</f>
        <v>0</v>
      </c>
      <c r="C11" s="199">
        <v>-4757.34</v>
      </c>
      <c r="D11" s="199">
        <f>B11-C11</f>
        <v>4757.34</v>
      </c>
      <c r="E11" s="160"/>
      <c r="F11" s="161"/>
      <c r="G11" s="76" t="s">
        <v>401</v>
      </c>
      <c r="H11" s="76" t="s">
        <v>407</v>
      </c>
      <c r="J11" s="84"/>
      <c r="K11" s="190">
        <f>I8</f>
        <v>737754.17</v>
      </c>
      <c r="L11" s="230"/>
      <c r="M11" s="230"/>
      <c r="N11" s="230"/>
    </row>
    <row r="12" spans="1:14" ht="15.75">
      <c r="A12" s="87"/>
      <c r="B12" s="199"/>
      <c r="C12" s="200"/>
      <c r="D12" s="199"/>
      <c r="E12" s="160"/>
      <c r="F12" s="161"/>
      <c r="G12" s="76" t="s">
        <v>402</v>
      </c>
      <c r="H12" s="76" t="s">
        <v>408</v>
      </c>
      <c r="J12" s="84"/>
      <c r="K12" s="190">
        <f>I9</f>
        <v>272517.95</v>
      </c>
      <c r="L12" s="230"/>
      <c r="M12" s="230"/>
      <c r="N12" s="230"/>
    </row>
    <row r="13" spans="1:14" ht="15.75">
      <c r="A13" s="87" t="s">
        <v>412</v>
      </c>
      <c r="B13" s="201">
        <f>SUM(B9:B12)</f>
        <v>0</v>
      </c>
      <c r="C13" s="201">
        <f>SUM(C9:C12)</f>
        <v>-1015029.4600000001</v>
      </c>
      <c r="D13" s="201">
        <f>SUM(D9:D12)</f>
        <v>1015029.4600000001</v>
      </c>
      <c r="E13" s="160"/>
      <c r="F13" s="161"/>
      <c r="G13" s="76" t="s">
        <v>403</v>
      </c>
      <c r="H13" s="76" t="s">
        <v>409</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387</v>
      </c>
      <c r="H15" s="76" t="s">
        <v>85</v>
      </c>
      <c r="J15" s="84"/>
      <c r="K15" s="190">
        <f>-D16</f>
        <v>664860.7953114785</v>
      </c>
      <c r="L15" s="230"/>
      <c r="M15" s="230"/>
      <c r="N15" s="230"/>
    </row>
    <row r="16" spans="1:14" ht="15.75">
      <c r="A16" s="87" t="s">
        <v>223</v>
      </c>
      <c r="B16" s="199">
        <f>-'[1](1)IBNR Cal13'!C27</f>
        <v>-929888.0153114785</v>
      </c>
      <c r="C16" s="199">
        <v>-265027.22</v>
      </c>
      <c r="D16" s="199">
        <f>B16-C16</f>
        <v>-664860.7953114785</v>
      </c>
      <c r="E16" s="160"/>
      <c r="F16" s="161"/>
      <c r="G16" s="76" t="s">
        <v>388</v>
      </c>
      <c r="H16" s="76" t="s">
        <v>86</v>
      </c>
      <c r="J16" s="84"/>
      <c r="K16" s="190">
        <f>-D17</f>
        <v>216633.17796003202</v>
      </c>
      <c r="L16" s="230"/>
      <c r="M16" s="230"/>
      <c r="N16" s="230"/>
    </row>
    <row r="17" spans="1:14" ht="15.75">
      <c r="A17" s="87" t="s">
        <v>246</v>
      </c>
      <c r="B17" s="199">
        <f>-'[1](1)IBNR Cal13'!C28</f>
        <v>-302248.25796003203</v>
      </c>
      <c r="C17" s="199">
        <v>-85615.08</v>
      </c>
      <c r="D17" s="199">
        <f>B17-C17</f>
        <v>-216633.17796003202</v>
      </c>
      <c r="E17" s="160"/>
      <c r="F17" s="161"/>
      <c r="G17" s="76" t="s">
        <v>389</v>
      </c>
      <c r="H17" s="76" t="s">
        <v>87</v>
      </c>
      <c r="J17" s="84"/>
      <c r="K17" s="190">
        <f>-D18</f>
        <v>2832.0896709593467</v>
      </c>
      <c r="L17" s="230"/>
      <c r="M17" s="230"/>
      <c r="N17" s="230"/>
    </row>
    <row r="18" spans="1:14" ht="15.75">
      <c r="A18" s="87" t="s">
        <v>225</v>
      </c>
      <c r="B18" s="199">
        <f>-'[1](1)IBNR Cal13'!C29</f>
        <v>-4148.069670959347</v>
      </c>
      <c r="C18" s="199">
        <v>-1315.98</v>
      </c>
      <c r="D18" s="199">
        <f>B18-C18</f>
        <v>-2832.0896709593467</v>
      </c>
      <c r="E18" s="160"/>
      <c r="F18" s="161"/>
      <c r="G18" s="76" t="s">
        <v>390</v>
      </c>
      <c r="H18" s="76" t="s">
        <v>88</v>
      </c>
      <c r="I18" s="76">
        <f>K15</f>
        <v>664860.7953114785</v>
      </c>
      <c r="J18" s="84"/>
      <c r="K18" s="190"/>
      <c r="L18" s="230"/>
      <c r="M18" s="230"/>
      <c r="N18" s="230"/>
    </row>
    <row r="19" spans="1:14" ht="15.75">
      <c r="A19" s="89"/>
      <c r="B19" s="199"/>
      <c r="C19" s="200"/>
      <c r="D19" s="199"/>
      <c r="E19" s="160"/>
      <c r="F19" s="161"/>
      <c r="G19" s="76" t="s">
        <v>391</v>
      </c>
      <c r="H19" s="76" t="s">
        <v>89</v>
      </c>
      <c r="I19" s="76">
        <f>K16</f>
        <v>216633.17796003202</v>
      </c>
      <c r="J19" s="84"/>
      <c r="K19" s="190"/>
      <c r="L19" s="230"/>
      <c r="M19" s="230"/>
      <c r="N19" s="230"/>
    </row>
    <row r="20" spans="1:14" ht="15.75">
      <c r="A20" s="87" t="s">
        <v>412</v>
      </c>
      <c r="B20" s="201">
        <f>SUM(B16:B19)</f>
        <v>-1236284.34294247</v>
      </c>
      <c r="C20" s="201">
        <f>SUM(C16:C19)</f>
        <v>-351958.27999999997</v>
      </c>
      <c r="D20" s="201">
        <f>SUM(D16:D19)</f>
        <v>-884326.06294247</v>
      </c>
      <c r="E20" s="160"/>
      <c r="F20" s="161"/>
      <c r="G20" s="76" t="s">
        <v>392</v>
      </c>
      <c r="H20" s="76" t="s">
        <v>90</v>
      </c>
      <c r="I20" s="366">
        <f>K17</f>
        <v>2832.0896709593467</v>
      </c>
      <c r="J20" s="84"/>
      <c r="K20" s="190"/>
      <c r="L20" s="80"/>
      <c r="M20" s="80"/>
      <c r="N20" s="80"/>
    </row>
    <row r="21" spans="1:11" ht="16.5" thickBot="1">
      <c r="A21" s="89"/>
      <c r="B21" s="160"/>
      <c r="C21" s="162"/>
      <c r="D21" s="160"/>
      <c r="E21" s="87"/>
      <c r="F21" s="66" t="s">
        <v>262</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96</v>
      </c>
      <c r="B23" s="270">
        <f>B13+B20</f>
        <v>-1236284.34294247</v>
      </c>
      <c r="C23" s="270">
        <f>C13+C20</f>
        <v>-1366987.74</v>
      </c>
      <c r="D23" s="270">
        <f>D13+D20</f>
        <v>130703.39705753012</v>
      </c>
      <c r="E23" s="165"/>
      <c r="F23" s="66" t="s">
        <v>263</v>
      </c>
      <c r="G23" s="67" t="s">
        <v>91</v>
      </c>
      <c r="H23" s="10"/>
      <c r="I23" s="169"/>
      <c r="J23" s="169"/>
      <c r="K23" s="195"/>
    </row>
    <row r="24" spans="1:11" ht="16.5" thickTop="1">
      <c r="A24" s="87"/>
      <c r="B24" s="87" t="s">
        <v>78</v>
      </c>
      <c r="C24" s="367" t="s">
        <v>455</v>
      </c>
      <c r="D24" s="87"/>
      <c r="E24" s="90"/>
      <c r="F24" s="66" t="s">
        <v>94</v>
      </c>
      <c r="G24" s="67" t="s">
        <v>92</v>
      </c>
      <c r="H24" s="67"/>
      <c r="I24" s="169"/>
      <c r="J24" s="169"/>
      <c r="K24" s="195" t="s">
        <v>108</v>
      </c>
    </row>
    <row r="25" spans="1:11" ht="15.75">
      <c r="A25" s="2"/>
      <c r="B25" s="368" t="s">
        <v>445</v>
      </c>
      <c r="C25" s="368" t="s">
        <v>446</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257</v>
      </c>
      <c r="J29" s="196"/>
      <c r="K29" s="195"/>
    </row>
    <row r="30" spans="1:11" ht="15.75">
      <c r="A30" s="2"/>
      <c r="B30" s="90"/>
      <c r="C30" s="90"/>
      <c r="D30" s="90"/>
      <c r="E30" s="90"/>
      <c r="F30" s="66" t="s">
        <v>264</v>
      </c>
      <c r="G30" s="67" t="s">
        <v>415</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413</v>
      </c>
      <c r="G33" s="67" t="s">
        <v>317</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265</v>
      </c>
      <c r="G36" s="67" t="s">
        <v>414</v>
      </c>
      <c r="H36" s="67"/>
      <c r="I36" s="196"/>
      <c r="J36" s="196"/>
      <c r="K36" s="195"/>
    </row>
    <row r="37" spans="1:11" ht="15.75">
      <c r="A37" s="2"/>
      <c r="B37" s="2"/>
      <c r="C37" s="2"/>
      <c r="D37" s="2"/>
      <c r="E37" s="2"/>
      <c r="F37" s="161"/>
      <c r="H37" s="67"/>
      <c r="I37" s="196"/>
      <c r="J37" s="196" t="s">
        <v>268</v>
      </c>
      <c r="K37" s="353"/>
    </row>
    <row r="38" spans="1:11" ht="16.5" thickBot="1">
      <c r="A38" s="2"/>
      <c r="B38" s="2"/>
      <c r="C38" s="2"/>
      <c r="D38" s="2"/>
      <c r="E38" s="2"/>
      <c r="F38" s="73"/>
      <c r="G38" s="72"/>
      <c r="H38" s="72"/>
      <c r="I38" s="196"/>
      <c r="J38" s="196"/>
      <c r="K38" s="195"/>
    </row>
    <row r="39" spans="1:14" ht="16.5" thickBot="1">
      <c r="A39" s="2"/>
      <c r="B39" s="2"/>
      <c r="C39" s="2"/>
      <c r="D39" s="2"/>
      <c r="E39" s="2"/>
      <c r="F39" s="294" t="s">
        <v>267</v>
      </c>
      <c r="G39" s="72" t="s">
        <v>77</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58" t="s">
        <v>98</v>
      </c>
      <c r="B1" s="958"/>
      <c r="C1" s="958"/>
      <c r="D1" s="958"/>
      <c r="E1" s="958"/>
      <c r="F1" s="958"/>
      <c r="G1" s="958"/>
      <c r="H1" s="1009" t="s">
        <v>254</v>
      </c>
      <c r="I1" s="1010"/>
      <c r="J1" s="1010"/>
      <c r="K1" s="1010"/>
      <c r="L1" s="1010"/>
      <c r="M1" s="1011"/>
      <c r="O1" s="224"/>
    </row>
    <row r="2" spans="1:15" s="18" customFormat="1" ht="18.75">
      <c r="A2" s="1014"/>
      <c r="B2" s="1014"/>
      <c r="C2" s="1014"/>
      <c r="D2" s="1014"/>
      <c r="E2" s="1014"/>
      <c r="F2" s="1014"/>
      <c r="G2" s="1014"/>
      <c r="H2" s="1012" t="s">
        <v>255</v>
      </c>
      <c r="I2" s="1008"/>
      <c r="J2" s="1008"/>
      <c r="K2" s="1008"/>
      <c r="L2" s="1008"/>
      <c r="M2" s="1013"/>
      <c r="O2" s="225"/>
    </row>
    <row r="3" spans="1:13" ht="12.75">
      <c r="A3" s="51"/>
      <c r="B3" s="52"/>
      <c r="C3" s="52"/>
      <c r="D3" s="205"/>
      <c r="E3" s="52"/>
      <c r="F3" s="52"/>
      <c r="G3" s="52"/>
      <c r="H3" s="66" t="s">
        <v>366</v>
      </c>
      <c r="I3" s="10" t="s">
        <v>320</v>
      </c>
      <c r="J3" s="10"/>
      <c r="K3" s="265"/>
      <c r="L3" s="179" t="s">
        <v>318</v>
      </c>
      <c r="M3" s="178" t="s">
        <v>322</v>
      </c>
    </row>
    <row r="4" spans="1:15" s="54" customFormat="1" ht="15.75">
      <c r="A4" s="1008" t="s">
        <v>36</v>
      </c>
      <c r="B4" s="1008"/>
      <c r="C4" s="1008"/>
      <c r="D4" s="1008"/>
      <c r="E4" s="1008"/>
      <c r="F4" s="1008"/>
      <c r="G4" s="1008"/>
      <c r="H4" s="66" t="s">
        <v>256</v>
      </c>
      <c r="I4" s="67"/>
      <c r="J4" s="67"/>
      <c r="K4" s="266"/>
      <c r="L4" s="179"/>
      <c r="M4" s="180"/>
      <c r="O4" s="226"/>
    </row>
    <row r="5" spans="1:16" s="54" customFormat="1" ht="15.75">
      <c r="A5" s="1008" t="s">
        <v>363</v>
      </c>
      <c r="B5" s="1008"/>
      <c r="C5" s="1008"/>
      <c r="D5" s="1008"/>
      <c r="E5" s="1008"/>
      <c r="F5" s="1008"/>
      <c r="G5" s="1008"/>
      <c r="H5" s="66" t="s">
        <v>257</v>
      </c>
      <c r="I5" s="67" t="s">
        <v>258</v>
      </c>
      <c r="J5" s="67" t="s">
        <v>259</v>
      </c>
      <c r="K5" s="266" t="s">
        <v>260</v>
      </c>
      <c r="L5" s="177"/>
      <c r="M5" s="180" t="s">
        <v>261</v>
      </c>
      <c r="O5" s="226"/>
      <c r="P5" s="226"/>
    </row>
    <row r="6" spans="1:16" ht="12.75">
      <c r="A6" s="55"/>
      <c r="B6" s="55"/>
      <c r="C6" s="55"/>
      <c r="D6" s="206"/>
      <c r="E6" s="55"/>
      <c r="F6" s="55"/>
      <c r="G6" s="55"/>
      <c r="H6" s="68"/>
      <c r="I6" s="69"/>
      <c r="J6" s="69"/>
      <c r="K6" s="267"/>
      <c r="L6" s="181"/>
      <c r="M6" s="182"/>
      <c r="O6" s="69"/>
      <c r="P6" s="69"/>
    </row>
    <row r="7" spans="1:16" ht="38.25">
      <c r="A7" s="56"/>
      <c r="B7" s="57" t="s">
        <v>305</v>
      </c>
      <c r="C7" s="57" t="s">
        <v>306</v>
      </c>
      <c r="D7" s="207" t="s">
        <v>307</v>
      </c>
      <c r="E7" s="57"/>
      <c r="F7" s="57" t="s">
        <v>46</v>
      </c>
      <c r="G7" s="57" t="s">
        <v>308</v>
      </c>
      <c r="H7" s="70">
        <v>37621</v>
      </c>
      <c r="I7" s="10" t="s">
        <v>313</v>
      </c>
      <c r="J7" s="10" t="s">
        <v>66</v>
      </c>
      <c r="K7" s="265">
        <f>+F23</f>
        <v>2206.52</v>
      </c>
      <c r="L7" s="181"/>
      <c r="M7" s="178"/>
      <c r="P7" s="223"/>
    </row>
    <row r="8" spans="1:13" ht="12.75" hidden="1">
      <c r="A8" s="10"/>
      <c r="B8" s="10"/>
      <c r="C8" s="10"/>
      <c r="D8" s="208"/>
      <c r="E8" s="58"/>
      <c r="F8" s="58"/>
      <c r="G8" s="58"/>
      <c r="H8" s="65"/>
      <c r="I8" s="10" t="s">
        <v>74</v>
      </c>
      <c r="J8" s="10" t="s">
        <v>66</v>
      </c>
      <c r="K8" s="265">
        <f>+F29</f>
        <v>55.86</v>
      </c>
      <c r="L8" s="181"/>
      <c r="M8" s="178"/>
    </row>
    <row r="9" spans="1:16" ht="12.75" hidden="1">
      <c r="A9" s="10"/>
      <c r="B9" s="64"/>
      <c r="C9" s="64"/>
      <c r="D9" s="208"/>
      <c r="E9" s="58"/>
      <c r="F9" s="58"/>
      <c r="G9" s="58"/>
      <c r="H9" s="65"/>
      <c r="I9" s="10" t="s">
        <v>68</v>
      </c>
      <c r="J9" s="10" t="s">
        <v>66</v>
      </c>
      <c r="K9" s="265">
        <f>+F35</f>
        <v>51079.75</v>
      </c>
      <c r="L9" s="181"/>
      <c r="M9" s="178"/>
      <c r="P9" s="223"/>
    </row>
    <row r="10" spans="1:13" ht="12.75" hidden="1">
      <c r="A10" s="59"/>
      <c r="B10" s="63"/>
      <c r="C10" s="63"/>
      <c r="D10" s="219"/>
      <c r="E10" s="60"/>
      <c r="F10" s="60"/>
      <c r="G10" s="60"/>
      <c r="H10" s="65"/>
      <c r="I10" s="10" t="s">
        <v>354</v>
      </c>
      <c r="J10" s="10" t="s">
        <v>66</v>
      </c>
      <c r="K10" s="265">
        <f>+F41</f>
        <v>60568.8</v>
      </c>
      <c r="L10" s="181"/>
      <c r="M10" s="178"/>
    </row>
    <row r="11" spans="1:16" ht="12.75" hidden="1">
      <c r="A11" s="10"/>
      <c r="B11" s="212"/>
      <c r="C11" s="271"/>
      <c r="D11" s="208"/>
      <c r="E11" s="204"/>
      <c r="F11" s="282"/>
      <c r="G11" s="212"/>
      <c r="H11" s="65"/>
      <c r="I11" s="10" t="s">
        <v>75</v>
      </c>
      <c r="J11" s="10" t="s">
        <v>67</v>
      </c>
      <c r="K11" s="265">
        <f>+F30</f>
        <v>0</v>
      </c>
      <c r="L11" s="181"/>
      <c r="M11" s="178"/>
      <c r="P11" s="223"/>
    </row>
    <row r="12" spans="1:16" ht="12.75" hidden="1">
      <c r="A12" s="10"/>
      <c r="B12" s="212"/>
      <c r="C12" s="271"/>
      <c r="D12" s="208"/>
      <c r="E12" s="204"/>
      <c r="F12" s="284"/>
      <c r="G12" s="212"/>
      <c r="H12" s="65"/>
      <c r="I12" s="10" t="s">
        <v>383</v>
      </c>
      <c r="J12" s="10" t="s">
        <v>67</v>
      </c>
      <c r="K12" s="265">
        <f>+F36</f>
        <v>2606.21</v>
      </c>
      <c r="L12" s="181"/>
      <c r="M12" s="178"/>
      <c r="P12" s="223"/>
    </row>
    <row r="13" spans="1:13" ht="12.75" hidden="1">
      <c r="A13" s="10"/>
      <c r="B13" s="212"/>
      <c r="C13" s="272"/>
      <c r="D13" s="208"/>
      <c r="E13" s="204"/>
      <c r="F13" s="284"/>
      <c r="G13" s="212"/>
      <c r="H13" s="65"/>
      <c r="I13" s="10" t="s">
        <v>355</v>
      </c>
      <c r="J13" s="10" t="s">
        <v>67</v>
      </c>
      <c r="K13" s="265">
        <f>+F42</f>
        <v>23392.86</v>
      </c>
      <c r="L13" s="181"/>
      <c r="M13" s="178"/>
    </row>
    <row r="14" spans="2:16" ht="12.75" hidden="1">
      <c r="B14" s="174"/>
      <c r="C14" s="273"/>
      <c r="D14" s="208"/>
      <c r="E14" s="214"/>
      <c r="F14" s="283"/>
      <c r="G14" s="214"/>
      <c r="H14" s="65"/>
      <c r="I14" s="10" t="s">
        <v>69</v>
      </c>
      <c r="J14" s="10" t="s">
        <v>42</v>
      </c>
      <c r="K14" s="265">
        <f>+F37</f>
        <v>0</v>
      </c>
      <c r="L14" s="234"/>
      <c r="M14" s="235"/>
      <c r="P14" s="223"/>
    </row>
    <row r="15" spans="2:13" ht="12.75">
      <c r="B15" s="175"/>
      <c r="C15" s="274"/>
      <c r="D15" s="219"/>
      <c r="E15" s="204"/>
      <c r="F15" s="277"/>
      <c r="G15" s="204"/>
      <c r="H15" s="65"/>
      <c r="I15" s="10"/>
      <c r="J15" s="10"/>
      <c r="K15" s="265"/>
      <c r="L15" s="181"/>
      <c r="M15" s="178"/>
    </row>
    <row r="16" spans="1:13" ht="12.75">
      <c r="A16" s="59" t="s">
        <v>84</v>
      </c>
      <c r="B16" s="175"/>
      <c r="C16" s="175"/>
      <c r="D16" s="219"/>
      <c r="E16" s="204"/>
      <c r="F16" s="277"/>
      <c r="G16" s="204"/>
      <c r="H16" s="65"/>
      <c r="I16" s="10"/>
      <c r="J16" s="10"/>
      <c r="K16" s="265"/>
      <c r="L16" s="181"/>
      <c r="M16" s="178"/>
    </row>
    <row r="17" spans="1:13" ht="12.75">
      <c r="A17" s="10" t="s">
        <v>309</v>
      </c>
      <c r="B17" s="212">
        <f>+'[1]TB3-31-04 (Pre)'!G469</f>
        <v>0</v>
      </c>
      <c r="C17" s="212">
        <f>SUM('[1]TB03-31-04(Final)'!F361:F364)</f>
        <v>0</v>
      </c>
      <c r="D17" s="751" t="e">
        <f>C17/C20</f>
        <v>#DIV/0!</v>
      </c>
      <c r="E17" s="204"/>
      <c r="F17" s="275" t="e">
        <f>SUM('[1]TB03-31-04(Final)'!F523:F524)</f>
        <v>#REF!</v>
      </c>
      <c r="G17" s="212" t="e">
        <f>+B17+F17</f>
        <v>#REF!</v>
      </c>
      <c r="H17" s="237" t="s">
        <v>364</v>
      </c>
      <c r="I17" s="10" t="s">
        <v>315</v>
      </c>
      <c r="J17" s="10" t="s">
        <v>316</v>
      </c>
      <c r="K17" s="265"/>
      <c r="L17" s="177"/>
      <c r="M17" s="178">
        <f>SUM(K7:K17)+0.01</f>
        <v>139910.01</v>
      </c>
    </row>
    <row r="18" spans="1:16" ht="12.75">
      <c r="A18" s="10" t="s">
        <v>310</v>
      </c>
      <c r="B18" s="212" t="e">
        <f>+'[1]TB03-31-04(Final)'!F469+'[1]TB03-31-04(Final)'!F470</f>
        <v>#REF!</v>
      </c>
      <c r="C18" s="212">
        <f>SUM('[1]TB03-31-04(Final)'!F370:F372)</f>
        <v>0</v>
      </c>
      <c r="D18" s="751" t="e">
        <f>C18/C20</f>
        <v>#DIV/0!</v>
      </c>
      <c r="E18" s="204"/>
      <c r="F18" s="275" t="e">
        <f>SUM('[1]TB03-31-04(Final)'!F530:F531)</f>
        <v>#REF!</v>
      </c>
      <c r="G18" s="212" t="e">
        <f>+B18+F18</f>
        <v>#REF!</v>
      </c>
      <c r="H18" s="237" t="s">
        <v>365</v>
      </c>
      <c r="I18" s="10"/>
      <c r="J18" s="10"/>
      <c r="K18" s="265"/>
      <c r="L18" s="177"/>
      <c r="M18" s="178"/>
      <c r="P18" s="223"/>
    </row>
    <row r="19" spans="1:13" ht="12.75">
      <c r="A19" s="10" t="s">
        <v>237</v>
      </c>
      <c r="B19" s="212">
        <v>0</v>
      </c>
      <c r="C19" s="213">
        <v>0</v>
      </c>
      <c r="D19" s="751" t="e">
        <f>C19/C20</f>
        <v>#DIV/0!</v>
      </c>
      <c r="E19" s="204"/>
      <c r="F19" s="275">
        <v>0</v>
      </c>
      <c r="G19" s="212">
        <v>0</v>
      </c>
      <c r="H19" s="65"/>
      <c r="I19" s="10"/>
      <c r="J19" s="10"/>
      <c r="K19" s="265"/>
      <c r="L19" s="177"/>
      <c r="M19" s="178"/>
    </row>
    <row r="20" spans="1:17" ht="13.5" thickBot="1">
      <c r="A20" s="8" t="s">
        <v>250</v>
      </c>
      <c r="B20" s="174" t="e">
        <f>SUM(B17:B19)</f>
        <v>#REF!</v>
      </c>
      <c r="C20" s="174">
        <f>SUM(C17:C19)</f>
        <v>0</v>
      </c>
      <c r="D20" s="749">
        <f>C20/$C$49</f>
        <v>0</v>
      </c>
      <c r="E20" s="214"/>
      <c r="F20" s="276" t="e">
        <f>SUM(F17:F19)</f>
        <v>#REF!</v>
      </c>
      <c r="G20" s="214" t="e">
        <f>SUM(G17:G19)</f>
        <v>#REF!</v>
      </c>
      <c r="H20" s="66" t="s">
        <v>262</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309</v>
      </c>
      <c r="B23" s="175">
        <f>+'[1]TB3-31-04 (Pre)'!F470</f>
        <v>980.5</v>
      </c>
      <c r="C23" s="212">
        <f>+'[1]TB3-31-04 (Pre)'!F362</f>
        <v>59250</v>
      </c>
      <c r="D23" s="749">
        <f>C23/C26</f>
        <v>1</v>
      </c>
      <c r="E23" s="204"/>
      <c r="F23" s="275">
        <f>+'[1]TB3-31-04 (Pre)'!F517</f>
        <v>2206.52</v>
      </c>
      <c r="G23" s="212">
        <f>B23+F23</f>
        <v>3187.02</v>
      </c>
      <c r="H23" s="66" t="s">
        <v>263</v>
      </c>
      <c r="I23" s="67" t="s">
        <v>43</v>
      </c>
      <c r="J23" s="67"/>
      <c r="K23" s="265"/>
      <c r="L23" s="177"/>
      <c r="M23" s="178" t="s">
        <v>108</v>
      </c>
      <c r="O23" s="53"/>
    </row>
    <row r="24" spans="1:16" ht="12.75">
      <c r="A24" s="10" t="s">
        <v>310</v>
      </c>
      <c r="B24" s="212">
        <f>+'[1]TB03-31-04(Final)'!F471</f>
        <v>0</v>
      </c>
      <c r="C24" s="212">
        <f>+'[1]TB3-31-04 (Pre)'!F370</f>
        <v>0</v>
      </c>
      <c r="D24" s="749">
        <f>C24/C26</f>
        <v>0</v>
      </c>
      <c r="E24" s="204"/>
      <c r="F24" s="275">
        <f>+'[1]TB03-31-04(Final)'!F532</f>
        <v>0</v>
      </c>
      <c r="G24" s="212">
        <f>B24+F24</f>
        <v>0</v>
      </c>
      <c r="H24" s="66" t="s">
        <v>319</v>
      </c>
      <c r="I24" s="67" t="s">
        <v>321</v>
      </c>
      <c r="J24" s="67"/>
      <c r="K24" s="265"/>
      <c r="L24" s="177"/>
      <c r="M24" s="178"/>
      <c r="O24" s="228"/>
      <c r="P24" s="229"/>
    </row>
    <row r="25" spans="1:16" ht="12.75">
      <c r="A25" s="10" t="s">
        <v>237</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250</v>
      </c>
      <c r="B26" s="174">
        <f>SUM(B23:B25)</f>
        <v>605.69</v>
      </c>
      <c r="C26" s="174">
        <f>SUM(C23:C25)</f>
        <v>59250</v>
      </c>
      <c r="D26" s="749">
        <f>C26/$C$49</f>
        <v>0.015765811858006993</v>
      </c>
      <c r="E26" s="214"/>
      <c r="F26" s="276">
        <f>SUM(F23:F25)</f>
        <v>2206.52</v>
      </c>
      <c r="G26" s="214">
        <f>SUM(G23:G25)</f>
        <v>2812.21</v>
      </c>
      <c r="H26" s="66" t="s">
        <v>264</v>
      </c>
      <c r="I26" s="72"/>
      <c r="J26" s="72"/>
      <c r="K26" s="265"/>
      <c r="L26" s="177"/>
      <c r="M26" s="178"/>
      <c r="O26" s="53"/>
    </row>
    <row r="27" spans="2:13" ht="12.75">
      <c r="B27" s="175"/>
      <c r="C27" s="175"/>
      <c r="D27" s="752"/>
      <c r="E27" s="204"/>
      <c r="F27" s="277"/>
      <c r="G27" s="204"/>
      <c r="H27" s="66"/>
      <c r="I27" s="67" t="s">
        <v>40</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309</v>
      </c>
      <c r="B29" s="175">
        <f>+'[1]TB3-31-04 (Pre)'!F471</f>
        <v>728.14</v>
      </c>
      <c r="C29" s="212">
        <f>+'[1]TB3-31-04 (Pre)'!F363</f>
        <v>1500</v>
      </c>
      <c r="D29" s="749">
        <f>C29/C32</f>
        <v>1</v>
      </c>
      <c r="E29" s="204"/>
      <c r="F29" s="275">
        <f>+'[1]TB3-31-04 (Pre)'!F518</f>
        <v>55.86</v>
      </c>
      <c r="G29" s="212">
        <f>B29+F29</f>
        <v>784</v>
      </c>
      <c r="H29" s="66" t="s">
        <v>413</v>
      </c>
      <c r="I29" s="72"/>
      <c r="J29" s="72"/>
      <c r="K29" s="266" t="s">
        <v>257</v>
      </c>
      <c r="L29" s="179"/>
      <c r="M29" s="178"/>
    </row>
    <row r="30" spans="1:13" ht="12.75">
      <c r="A30" s="10" t="s">
        <v>310</v>
      </c>
      <c r="B30" s="212">
        <f>+'[1]TB3-31-04 (Pre)'!F478</f>
        <v>254</v>
      </c>
      <c r="C30" s="212">
        <f>+'[1]TB3-31-04 (Pre)'!F371</f>
        <v>0</v>
      </c>
      <c r="D30" s="749">
        <f>C30/C32</f>
        <v>0</v>
      </c>
      <c r="E30" s="204"/>
      <c r="F30" s="275">
        <f>+'[1]TB3-31-04 (Pre)'!F525</f>
        <v>0</v>
      </c>
      <c r="G30" s="212">
        <f>B30+F30</f>
        <v>254</v>
      </c>
      <c r="H30" s="66"/>
      <c r="I30" s="67" t="s">
        <v>317</v>
      </c>
      <c r="J30" s="67"/>
      <c r="K30" s="266"/>
      <c r="L30" s="179"/>
      <c r="M30" s="178"/>
    </row>
    <row r="31" spans="1:13" ht="12.75">
      <c r="A31" s="10" t="s">
        <v>237</v>
      </c>
      <c r="B31" s="213">
        <v>0</v>
      </c>
      <c r="C31" s="213">
        <v>0</v>
      </c>
      <c r="D31" s="749">
        <f>C31/C32</f>
        <v>0</v>
      </c>
      <c r="E31" s="204"/>
      <c r="F31" s="275">
        <f>+'[1]TB03-31-04(Final)'!F548</f>
        <v>1047.62</v>
      </c>
      <c r="G31" s="212">
        <f>F31+B31</f>
        <v>1047.62</v>
      </c>
      <c r="H31" s="66"/>
      <c r="I31" s="67"/>
      <c r="J31" s="67"/>
      <c r="K31" s="266"/>
      <c r="L31" s="179"/>
      <c r="M31" s="178"/>
    </row>
    <row r="32" spans="1:13" ht="13.5" thickBot="1">
      <c r="A32" s="8" t="s">
        <v>250</v>
      </c>
      <c r="B32" s="174">
        <f>SUM(B29:B31)</f>
        <v>982.14</v>
      </c>
      <c r="C32" s="174">
        <f>SUM(C29:C31)</f>
        <v>1500</v>
      </c>
      <c r="D32" s="749">
        <f>C32/$C$49</f>
        <v>0.00039913447741789855</v>
      </c>
      <c r="E32" s="214"/>
      <c r="F32" s="276">
        <f>SUM(F29:F31)</f>
        <v>1103.4799999999998</v>
      </c>
      <c r="G32" s="214">
        <f>SUM(G29:G31)</f>
        <v>2085.62</v>
      </c>
      <c r="H32" s="66" t="s">
        <v>265</v>
      </c>
      <c r="I32" s="72"/>
      <c r="J32" s="72"/>
      <c r="K32" s="266"/>
      <c r="L32" s="179"/>
      <c r="M32" s="178"/>
    </row>
    <row r="33" spans="2:13" ht="12.75">
      <c r="B33" s="175"/>
      <c r="C33" s="175"/>
      <c r="D33" s="752"/>
      <c r="E33" s="204"/>
      <c r="F33" s="277"/>
      <c r="G33" s="204"/>
      <c r="H33" s="66"/>
      <c r="I33" s="67" t="s">
        <v>266</v>
      </c>
      <c r="J33" s="67"/>
      <c r="K33" s="266"/>
      <c r="L33" s="179"/>
      <c r="M33" s="178"/>
    </row>
    <row r="34" spans="1:13" ht="12.75">
      <c r="A34" s="59">
        <v>2002</v>
      </c>
      <c r="B34" s="175"/>
      <c r="C34" s="175"/>
      <c r="D34" s="752"/>
      <c r="E34" s="204"/>
      <c r="F34" s="277"/>
      <c r="G34" s="204"/>
      <c r="H34" s="66"/>
      <c r="I34" s="67"/>
      <c r="J34" s="67"/>
      <c r="K34" s="266"/>
      <c r="L34" s="179" t="s">
        <v>268</v>
      </c>
      <c r="M34" s="178"/>
    </row>
    <row r="35" spans="1:13" ht="13.5" thickBot="1">
      <c r="A35" s="10" t="s">
        <v>309</v>
      </c>
      <c r="B35" s="175">
        <f>+'[1]TB3-31-04 (Pre)'!F472</f>
        <v>40871.79</v>
      </c>
      <c r="C35" s="212">
        <f>+'[1]TB3-31-04 (Pre)'!F364</f>
        <v>1371608.06</v>
      </c>
      <c r="D35" s="749">
        <f>C35/C38</f>
        <v>0.9514546164884548</v>
      </c>
      <c r="E35" s="215"/>
      <c r="F35" s="275">
        <f>+'[1]TB3-31-04 (Pre)'!F519</f>
        <v>51079.75</v>
      </c>
      <c r="G35" s="212">
        <f>B35+F35</f>
        <v>91951.54000000001</v>
      </c>
      <c r="H35" s="66" t="s">
        <v>267</v>
      </c>
      <c r="I35" s="72"/>
      <c r="J35" s="72"/>
      <c r="K35" s="266"/>
      <c r="L35" s="179"/>
      <c r="M35" s="178"/>
    </row>
    <row r="36" spans="1:13" ht="13.5" thickBot="1">
      <c r="A36" s="10" t="s">
        <v>310</v>
      </c>
      <c r="B36" s="212">
        <f>+'[1]TB3-31-04 (Pre)'!F479</f>
        <v>36651.02</v>
      </c>
      <c r="C36" s="212">
        <f>+'[1]TB3-31-04 (Pre)'!F372</f>
        <v>69982.57</v>
      </c>
      <c r="D36" s="749">
        <f>C36/C38</f>
        <v>0.04854538351154516</v>
      </c>
      <c r="E36" s="215"/>
      <c r="F36" s="275">
        <f>+'[1]TB3-31-04 (Pre)'!F526</f>
        <v>2606.21</v>
      </c>
      <c r="G36" s="212">
        <f>B36+F36</f>
        <v>39257.229999999996</v>
      </c>
      <c r="H36" s="73"/>
      <c r="I36" s="72" t="s">
        <v>77</v>
      </c>
      <c r="J36" s="72"/>
      <c r="K36" s="268"/>
      <c r="L36" s="185"/>
      <c r="M36" s="186"/>
    </row>
    <row r="37" spans="1:10" ht="12.75">
      <c r="A37" s="10" t="s">
        <v>237</v>
      </c>
      <c r="B37" s="213">
        <f>+'[1]TB03-31-04(Final)'!F479</f>
        <v>0</v>
      </c>
      <c r="C37" s="213">
        <f>+'[1]TB3-31-04 (Pre)'!F379</f>
        <v>0</v>
      </c>
      <c r="D37" s="749">
        <f>C37/C38</f>
        <v>0</v>
      </c>
      <c r="E37" s="215"/>
      <c r="F37" s="275">
        <f>+'[1]TB03-31-04(Final)'!F540</f>
        <v>0</v>
      </c>
      <c r="G37" s="212">
        <f>F37+B37</f>
        <v>0</v>
      </c>
      <c r="H37" s="8"/>
      <c r="I37" s="8"/>
      <c r="J37" s="8"/>
    </row>
    <row r="38" spans="1:10" ht="12.75">
      <c r="A38" s="8" t="s">
        <v>250</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309</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310</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237</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250</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311</v>
      </c>
      <c r="B45" s="175"/>
      <c r="C45" s="175"/>
      <c r="D45" s="752"/>
      <c r="E45" s="204"/>
      <c r="F45" s="277"/>
      <c r="G45" s="204"/>
      <c r="H45" s="8"/>
      <c r="I45" s="8"/>
      <c r="J45" s="8"/>
    </row>
    <row r="46" spans="1:7" ht="12.75">
      <c r="A46" s="67" t="s">
        <v>309</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310</v>
      </c>
      <c r="B47" s="217" t="e">
        <f t="shared" si="0"/>
        <v>#REF!</v>
      </c>
      <c r="C47" s="217">
        <f t="shared" si="0"/>
        <v>698134.3500000001</v>
      </c>
      <c r="D47" s="750">
        <f>C47/C49</f>
        <v>0.1857663259698229</v>
      </c>
      <c r="E47" s="217"/>
      <c r="F47" s="278" t="e">
        <f>+F18+F24+F30+F36+F42</f>
        <v>#REF!</v>
      </c>
      <c r="G47" s="217" t="e">
        <f>B47+F47</f>
        <v>#REF!</v>
      </c>
    </row>
    <row r="48" spans="1:7" ht="12.75">
      <c r="A48" s="67" t="s">
        <v>237</v>
      </c>
      <c r="B48" s="217">
        <f t="shared" si="0"/>
        <v>-374.81</v>
      </c>
      <c r="C48" s="217">
        <f t="shared" si="0"/>
        <v>1229</v>
      </c>
      <c r="D48" s="750">
        <f>C48/C49</f>
        <v>0.0003270241818310649</v>
      </c>
      <c r="E48" s="217"/>
      <c r="F48" s="278">
        <f>+F43+F37+F31+F25+F19</f>
        <v>1093.3899999999999</v>
      </c>
      <c r="G48" s="217">
        <f>B48+F48</f>
        <v>718.5799999999999</v>
      </c>
    </row>
    <row r="49" spans="1:7" ht="13.5" thickBot="1">
      <c r="A49" s="94" t="s">
        <v>250</v>
      </c>
      <c r="B49" s="305" t="e">
        <f>SUM(B46:B48)</f>
        <v>#REF!</v>
      </c>
      <c r="C49" s="305">
        <f>SUM(C46:C48)</f>
        <v>3758131.87</v>
      </c>
      <c r="D49" s="750">
        <f>C49/$C$49</f>
        <v>1</v>
      </c>
      <c r="E49" s="305"/>
      <c r="F49" s="306" t="e">
        <f>SUM(F46:F48)</f>
        <v>#REF!</v>
      </c>
      <c r="G49" s="305" t="e">
        <f>B49+F49</f>
        <v>#REF!</v>
      </c>
    </row>
    <row r="50" spans="1:15" s="578" customFormat="1" ht="13.5" thickTop="1">
      <c r="A50" s="574" t="s">
        <v>41</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396</v>
      </c>
      <c r="B52" s="300"/>
      <c r="C52" s="300"/>
      <c r="D52" s="209"/>
      <c r="E52" s="175"/>
      <c r="F52" s="218"/>
      <c r="G52" s="175"/>
    </row>
    <row r="53" spans="1:7" ht="25.5">
      <c r="A53" s="62" t="s">
        <v>312</v>
      </c>
      <c r="B53" s="176"/>
      <c r="C53" s="176"/>
      <c r="D53" s="210"/>
      <c r="E53" s="204"/>
      <c r="F53" s="297">
        <v>495387.39</v>
      </c>
      <c r="G53" s="204"/>
    </row>
    <row r="55" spans="1:6" ht="12.75">
      <c r="A55" s="118" t="s">
        <v>37</v>
      </c>
      <c r="B55" s="123">
        <v>51200</v>
      </c>
      <c r="C55" s="124">
        <v>51100</v>
      </c>
      <c r="D55" s="220"/>
      <c r="E55" s="125"/>
      <c r="F55" s="125" t="s">
        <v>39</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5" t="s">
        <v>431</v>
      </c>
      <c r="B2" s="1015"/>
      <c r="C2" s="1015"/>
      <c r="D2" s="1015"/>
      <c r="E2" s="1015"/>
      <c r="F2" s="1015"/>
      <c r="G2" s="1015"/>
      <c r="H2" s="1015"/>
      <c r="I2" s="1015"/>
      <c r="J2" s="1015"/>
    </row>
    <row r="3" spans="1:7" ht="19.5" customHeight="1">
      <c r="A3" s="243"/>
      <c r="B3" s="244"/>
      <c r="C3" s="244"/>
      <c r="E3" s="244"/>
      <c r="F3" s="244"/>
      <c r="G3" s="244"/>
    </row>
    <row r="4" spans="1:10" ht="19.5" customHeight="1">
      <c r="A4" s="1016" t="s">
        <v>432</v>
      </c>
      <c r="B4" s="1016"/>
      <c r="C4" s="1016"/>
      <c r="D4" s="1016"/>
      <c r="E4" s="1016"/>
      <c r="F4" s="1016"/>
      <c r="G4" s="1016"/>
      <c r="H4" s="1016"/>
      <c r="I4" s="1016"/>
      <c r="J4" s="1016"/>
    </row>
    <row r="5" ht="19.5" customHeight="1">
      <c r="B5" s="9"/>
    </row>
    <row r="6" spans="2:10" ht="19.5" customHeight="1">
      <c r="B6" s="1017" t="s">
        <v>273</v>
      </c>
      <c r="C6" s="1017"/>
      <c r="D6" s="1017"/>
      <c r="E6" s="6"/>
      <c r="F6" s="6"/>
      <c r="G6" s="6"/>
      <c r="H6" s="141" t="s">
        <v>274</v>
      </c>
      <c r="I6" s="141"/>
      <c r="J6" s="140"/>
    </row>
    <row r="7" spans="2:10" ht="19.5" customHeight="1" thickBot="1">
      <c r="B7" s="1018" t="s">
        <v>433</v>
      </c>
      <c r="C7" s="1018"/>
      <c r="D7" s="1018"/>
      <c r="E7" s="248"/>
      <c r="F7" s="248"/>
      <c r="G7" s="248"/>
      <c r="H7" s="1018" t="s">
        <v>433</v>
      </c>
      <c r="I7" s="1018"/>
      <c r="J7" s="1018"/>
    </row>
    <row r="8" spans="2:10" ht="19.5" customHeight="1" thickBot="1">
      <c r="B8" s="245">
        <v>2002</v>
      </c>
      <c r="C8" s="139"/>
      <c r="D8" s="245">
        <v>2001</v>
      </c>
      <c r="E8" s="139"/>
      <c r="F8" s="359" t="s">
        <v>65</v>
      </c>
      <c r="G8" s="139"/>
      <c r="H8" s="245">
        <v>2002</v>
      </c>
      <c r="I8" s="139"/>
      <c r="J8" s="245">
        <v>2001</v>
      </c>
    </row>
    <row r="9" spans="1:9" ht="19.5" customHeight="1">
      <c r="A9" s="14"/>
      <c r="B9" s="112"/>
      <c r="C9" s="112"/>
      <c r="D9" s="14"/>
      <c r="E9" s="130"/>
      <c r="F9" s="130"/>
      <c r="G9" s="130"/>
      <c r="I9" s="45"/>
    </row>
    <row r="10" spans="1:10" ht="19.5" customHeight="1">
      <c r="A10" s="95" t="s">
        <v>434</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435</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436</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437</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438</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103</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439</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495</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440</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441</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442</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58" t="s">
        <v>98</v>
      </c>
      <c r="B1" s="958"/>
      <c r="C1" s="958"/>
      <c r="D1" s="958"/>
      <c r="E1" s="958"/>
      <c r="F1" s="958"/>
      <c r="G1" s="958"/>
      <c r="H1" s="958"/>
      <c r="I1" s="958"/>
      <c r="J1" s="958"/>
      <c r="K1" s="958"/>
      <c r="L1" s="958"/>
      <c r="M1" s="958"/>
      <c r="N1" s="958"/>
      <c r="O1" s="958"/>
      <c r="P1" s="958"/>
      <c r="Q1" s="958"/>
      <c r="R1" s="958"/>
      <c r="S1" s="958"/>
      <c r="T1" s="958"/>
    </row>
    <row r="2" ht="7.5" customHeight="1"/>
    <row r="3" spans="1:20" ht="19.5">
      <c r="A3" s="958" t="s">
        <v>468</v>
      </c>
      <c r="B3" s="958"/>
      <c r="C3" s="958"/>
      <c r="D3" s="958"/>
      <c r="E3" s="958"/>
      <c r="F3" s="958"/>
      <c r="G3" s="958"/>
      <c r="H3" s="958"/>
      <c r="I3" s="958"/>
      <c r="J3" s="958"/>
      <c r="K3" s="958"/>
      <c r="L3" s="958"/>
      <c r="M3" s="958"/>
      <c r="N3" s="958"/>
      <c r="O3" s="958"/>
      <c r="P3" s="958"/>
      <c r="Q3" s="958"/>
      <c r="R3" s="958"/>
      <c r="S3" s="958"/>
      <c r="T3" s="958"/>
    </row>
    <row r="4" spans="2:9" ht="8.25" customHeight="1">
      <c r="B4" s="642"/>
      <c r="C4" s="648"/>
      <c r="D4" s="642"/>
      <c r="E4" s="642"/>
      <c r="F4" s="648"/>
      <c r="G4" s="642"/>
      <c r="H4" s="642"/>
      <c r="I4" s="642"/>
    </row>
    <row r="5" spans="1:20" ht="19.5">
      <c r="A5" s="958" t="s">
        <v>359</v>
      </c>
      <c r="B5" s="958"/>
      <c r="C5" s="958"/>
      <c r="D5" s="958"/>
      <c r="E5" s="958"/>
      <c r="F5" s="958"/>
      <c r="G5" s="958"/>
      <c r="H5" s="958"/>
      <c r="I5" s="958"/>
      <c r="J5" s="958"/>
      <c r="K5" s="958"/>
      <c r="L5" s="958"/>
      <c r="M5" s="958"/>
      <c r="N5" s="958"/>
      <c r="O5" s="958"/>
      <c r="P5" s="958"/>
      <c r="Q5" s="958"/>
      <c r="R5" s="958"/>
      <c r="S5" s="958"/>
      <c r="T5" s="958"/>
    </row>
    <row r="6" spans="7:9" ht="12.75">
      <c r="G6" s="960" t="s">
        <v>79</v>
      </c>
      <c r="H6" s="960"/>
      <c r="I6" s="960"/>
    </row>
    <row r="7" spans="4:17" ht="12.75">
      <c r="D7" s="959" t="s">
        <v>485</v>
      </c>
      <c r="E7" s="959"/>
      <c r="F7" s="959"/>
      <c r="J7" s="959" t="s">
        <v>464</v>
      </c>
      <c r="K7" s="959"/>
      <c r="L7" s="959"/>
      <c r="M7" s="959"/>
      <c r="N7" s="959"/>
      <c r="O7" s="959"/>
      <c r="P7" s="959"/>
      <c r="Q7" s="959"/>
    </row>
    <row r="8" spans="4:18" ht="12.75">
      <c r="D8" s="661" t="s">
        <v>10</v>
      </c>
      <c r="E8" s="665" t="s">
        <v>11</v>
      </c>
      <c r="F8" s="959" t="s">
        <v>465</v>
      </c>
      <c r="G8" s="959"/>
      <c r="H8" s="959"/>
      <c r="I8" s="959"/>
      <c r="J8" s="959"/>
      <c r="K8" s="959"/>
      <c r="L8" s="959"/>
      <c r="P8" s="665"/>
      <c r="Q8" s="665"/>
      <c r="R8" s="665" t="s">
        <v>181</v>
      </c>
    </row>
    <row r="9" spans="2:20" ht="13.5" thickBot="1">
      <c r="B9" s="666" t="s">
        <v>361</v>
      </c>
      <c r="C9" s="656"/>
      <c r="D9" s="664" t="s">
        <v>9</v>
      </c>
      <c r="E9" s="666" t="s">
        <v>9</v>
      </c>
      <c r="F9" s="957" t="s">
        <v>356</v>
      </c>
      <c r="G9" s="957" t="s">
        <v>9</v>
      </c>
      <c r="H9" s="957" t="s">
        <v>9</v>
      </c>
      <c r="I9" s="957"/>
      <c r="J9" s="957" t="s">
        <v>9</v>
      </c>
      <c r="K9" s="957" t="s">
        <v>9</v>
      </c>
      <c r="L9" s="666" t="s">
        <v>357</v>
      </c>
      <c r="P9" s="666"/>
      <c r="Q9" s="653"/>
      <c r="R9" s="666" t="s">
        <v>418</v>
      </c>
      <c r="S9" s="692" t="s">
        <v>370</v>
      </c>
      <c r="T9" s="666" t="s">
        <v>371</v>
      </c>
    </row>
    <row r="10" spans="2:19" ht="12.75">
      <c r="B10" s="661"/>
      <c r="I10" s="358"/>
      <c r="S10" s="699"/>
    </row>
    <row r="11" spans="1:19" ht="12.75">
      <c r="A11" t="s">
        <v>165</v>
      </c>
      <c r="B11" s="661" t="s">
        <v>12</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466</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166</v>
      </c>
      <c r="B15" s="661" t="s">
        <v>444</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64</v>
      </c>
    </row>
    <row r="16" spans="2:19" ht="12.75">
      <c r="B16" s="661"/>
      <c r="C16" s="658"/>
      <c r="D16" s="659"/>
      <c r="E16" s="659"/>
      <c r="F16" s="672"/>
      <c r="G16" s="673"/>
      <c r="H16" s="673"/>
      <c r="I16" s="674"/>
      <c r="L16" s="672"/>
      <c r="Q16" s="655">
        <f t="shared" si="1"/>
        <v>0</v>
      </c>
      <c r="R16" s="661"/>
      <c r="S16" s="696"/>
    </row>
    <row r="17" spans="1:19" ht="12.75">
      <c r="A17" t="s">
        <v>167</v>
      </c>
      <c r="B17" s="661" t="s">
        <v>13</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168</v>
      </c>
      <c r="B19" s="661" t="s">
        <v>14</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169</v>
      </c>
      <c r="B21" s="661" t="s">
        <v>470</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469</v>
      </c>
    </row>
    <row r="22" spans="2:19" ht="12.75">
      <c r="B22" s="661" t="s">
        <v>471</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170</v>
      </c>
      <c r="B25" s="661" t="s">
        <v>377</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479</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171</v>
      </c>
      <c r="B27" s="661" t="s">
        <v>15</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16</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17</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172</v>
      </c>
      <c r="B31" s="661" t="s">
        <v>272</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417</v>
      </c>
      <c r="C32" s="658"/>
      <c r="D32" s="659"/>
      <c r="E32" s="659"/>
      <c r="F32" s="672"/>
      <c r="G32" s="673"/>
      <c r="H32" s="673"/>
      <c r="I32" s="674"/>
      <c r="J32" s="683"/>
      <c r="L32" s="672">
        <f t="shared" si="2"/>
        <v>0</v>
      </c>
      <c r="Q32" s="655">
        <f t="shared" si="1"/>
        <v>0</v>
      </c>
      <c r="R32" s="661">
        <f t="shared" si="3"/>
        <v>0</v>
      </c>
      <c r="S32" s="696"/>
      <c r="T32" s="358">
        <v>22601.24</v>
      </c>
    </row>
    <row r="33" spans="2:20" ht="12.75">
      <c r="B33" s="659" t="s">
        <v>416</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476</v>
      </c>
    </row>
    <row r="35" spans="1:20" ht="12.75">
      <c r="A35" t="s">
        <v>173</v>
      </c>
      <c r="B35" s="661" t="s">
        <v>494</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480</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174</v>
      </c>
      <c r="B37" s="661" t="s">
        <v>19</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175</v>
      </c>
      <c r="B39" s="661" t="s">
        <v>20</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176</v>
      </c>
      <c r="B41" s="661" t="s">
        <v>21</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177</v>
      </c>
      <c r="B43" s="661" t="s">
        <v>30</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178</v>
      </c>
      <c r="B45" s="661" t="s">
        <v>376</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179</v>
      </c>
      <c r="B50" s="661" t="s">
        <v>32</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180</v>
      </c>
      <c r="B52" s="661" t="s">
        <v>22</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456</v>
      </c>
      <c r="B54" s="661" t="s">
        <v>378</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481</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475</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457</v>
      </c>
      <c r="B58" s="732" t="s">
        <v>467</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458</v>
      </c>
      <c r="B59" s="661" t="s">
        <v>23</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478</v>
      </c>
    </row>
    <row r="60" spans="2:19" ht="12.75">
      <c r="B60" s="644"/>
      <c r="C60" s="659"/>
      <c r="D60" s="673"/>
      <c r="E60" s="673"/>
      <c r="F60" s="675"/>
      <c r="G60" s="673"/>
      <c r="H60" s="673"/>
      <c r="I60" s="674"/>
      <c r="J60" s="681" t="s">
        <v>443</v>
      </c>
      <c r="L60" s="703"/>
      <c r="R60" s="652">
        <f t="shared" si="3"/>
        <v>0</v>
      </c>
      <c r="S60" s="699"/>
    </row>
    <row r="61" spans="1:19" ht="12.75">
      <c r="A61" t="s">
        <v>459</v>
      </c>
      <c r="B61" s="59" t="s">
        <v>24</v>
      </c>
      <c r="C61" s="662"/>
      <c r="D61" s="673"/>
      <c r="E61" s="673"/>
      <c r="F61" s="703"/>
      <c r="G61" s="704"/>
      <c r="H61" s="704"/>
      <c r="I61" s="705"/>
      <c r="L61" s="703"/>
      <c r="R61" s="652">
        <f t="shared" si="3"/>
        <v>0</v>
      </c>
      <c r="S61" s="699"/>
    </row>
    <row r="62" spans="2:19" ht="12.75">
      <c r="B62" s="659" t="s">
        <v>25</v>
      </c>
      <c r="C62" s="659"/>
      <c r="D62" s="674">
        <f>+'[1]TB03-31-04(Final)'!Z790</f>
        <v>289.58</v>
      </c>
      <c r="E62" s="675">
        <v>0</v>
      </c>
      <c r="F62" s="703">
        <f>SUM(D62:E62)</f>
        <v>289.58</v>
      </c>
      <c r="G62" s="704"/>
      <c r="H62" s="704"/>
      <c r="I62" s="705"/>
      <c r="L62" s="703"/>
      <c r="R62" s="652">
        <f t="shared" si="3"/>
        <v>289.58</v>
      </c>
      <c r="S62" s="699"/>
    </row>
    <row r="63" spans="2:19" ht="12.75">
      <c r="B63" s="659" t="s">
        <v>26</v>
      </c>
      <c r="C63" s="659"/>
      <c r="D63" s="674" t="e">
        <f>+'[1]TB03-31-04(Final)'!D991</f>
        <v>#REF!</v>
      </c>
      <c r="E63" s="674">
        <f>+'[1]TB03-31-04(Final)'!E994</f>
        <v>0</v>
      </c>
      <c r="F63" s="703" t="e">
        <f>SUM(D63:E63)</f>
        <v>#REF!</v>
      </c>
      <c r="G63" s="704"/>
      <c r="H63" s="704"/>
      <c r="I63" s="705"/>
      <c r="L63" s="703"/>
      <c r="R63" s="652" t="e">
        <f t="shared" si="3"/>
        <v>#REF!</v>
      </c>
      <c r="S63" s="699"/>
    </row>
    <row r="64" spans="2:20" ht="12.75">
      <c r="B64" s="659" t="s">
        <v>31</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477</v>
      </c>
    </row>
    <row r="65" spans="2:19" ht="12.75">
      <c r="B65" s="659" t="s">
        <v>76</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472</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474</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473</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460</v>
      </c>
      <c r="B70" s="59" t="s">
        <v>27</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380</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382</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461</v>
      </c>
      <c r="B73" s="661" t="s">
        <v>28</v>
      </c>
      <c r="D73" s="661">
        <v>0</v>
      </c>
      <c r="E73" s="661">
        <v>305438</v>
      </c>
      <c r="F73" s="661">
        <f>SUM(D73:E73)</f>
        <v>305438</v>
      </c>
      <c r="G73" s="646"/>
      <c r="H73" s="646"/>
      <c r="I73" s="646"/>
      <c r="K73" s="681">
        <v>287179</v>
      </c>
      <c r="L73" s="661">
        <f>SUM(J73:K73)</f>
        <v>287179</v>
      </c>
      <c r="R73" s="643"/>
    </row>
    <row r="74" spans="1:18" ht="12.75">
      <c r="A74" t="s">
        <v>462</v>
      </c>
      <c r="B74" s="661" t="s">
        <v>379</v>
      </c>
      <c r="C74" s="651"/>
      <c r="D74" s="668">
        <v>0</v>
      </c>
      <c r="E74" s="668">
        <v>309881</v>
      </c>
      <c r="F74" s="668">
        <f>SUM(D74:E74)</f>
        <v>309881</v>
      </c>
      <c r="G74" s="646"/>
      <c r="H74" s="646"/>
      <c r="I74" s="646"/>
      <c r="J74" s="684"/>
      <c r="K74" s="681">
        <v>453634</v>
      </c>
      <c r="L74" s="668">
        <f>SUM(J74:K74)</f>
        <v>453634</v>
      </c>
      <c r="R74" s="643"/>
    </row>
    <row r="75" spans="2:19" ht="12.75">
      <c r="B75" s="661" t="s">
        <v>381</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463</v>
      </c>
      <c r="B76" s="59" t="s">
        <v>29</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1" t="s">
        <v>98</v>
      </c>
      <c r="B1" s="961"/>
      <c r="C1" s="961"/>
      <c r="D1" s="961"/>
      <c r="E1" s="961"/>
      <c r="F1" s="961"/>
      <c r="G1" s="961"/>
      <c r="H1" s="241"/>
    </row>
    <row r="2" spans="1:8" s="27" customFormat="1" ht="18.75">
      <c r="A2" s="962"/>
      <c r="B2" s="962"/>
      <c r="C2" s="962"/>
      <c r="D2" s="962"/>
      <c r="E2" s="962"/>
      <c r="F2" s="962"/>
      <c r="G2" s="962"/>
      <c r="H2" s="1"/>
    </row>
    <row r="3" spans="1:8" s="29" customFormat="1" ht="18.75">
      <c r="A3" s="963" t="s">
        <v>131</v>
      </c>
      <c r="B3" s="963"/>
      <c r="C3" s="963"/>
      <c r="D3" s="963"/>
      <c r="E3" s="963"/>
      <c r="F3" s="963"/>
      <c r="G3" s="963"/>
      <c r="H3" s="28"/>
    </row>
    <row r="4" spans="1:8" s="29" customFormat="1" ht="18.75">
      <c r="A4" s="963" t="s">
        <v>362</v>
      </c>
      <c r="B4" s="963"/>
      <c r="C4" s="963"/>
      <c r="D4" s="963"/>
      <c r="E4" s="963"/>
      <c r="F4" s="963"/>
      <c r="G4" s="963"/>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393</v>
      </c>
      <c r="C7" s="392" t="s">
        <v>397</v>
      </c>
      <c r="D7" s="392" t="s">
        <v>493</v>
      </c>
      <c r="E7" s="392" t="s">
        <v>60</v>
      </c>
      <c r="F7" s="392" t="s">
        <v>448</v>
      </c>
      <c r="G7" s="392" t="s">
        <v>99</v>
      </c>
      <c r="H7" s="382"/>
      <c r="I7" s="32" t="s">
        <v>482</v>
      </c>
    </row>
    <row r="8" spans="1:8" s="34" customFormat="1" ht="12.75">
      <c r="A8" s="393" t="s">
        <v>133</v>
      </c>
      <c r="B8" s="394"/>
      <c r="C8" s="394"/>
      <c r="D8" s="394"/>
      <c r="E8" s="394"/>
      <c r="F8" s="394"/>
      <c r="G8" s="395"/>
      <c r="H8" s="33"/>
    </row>
    <row r="9" spans="1:9" ht="12.75">
      <c r="A9" s="396" t="s">
        <v>134</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135</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136</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137</v>
      </c>
      <c r="B13" s="501"/>
      <c r="C13" s="501"/>
      <c r="D13" s="501"/>
      <c r="E13" s="501"/>
      <c r="F13" s="501"/>
      <c r="G13" s="494"/>
      <c r="H13" s="37"/>
    </row>
    <row r="14" spans="1:10" ht="12.75">
      <c r="A14" s="354" t="s">
        <v>138</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139</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140</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141</v>
      </c>
      <c r="B17" s="494">
        <f>+'[1]TB03-31-04(Final)'!G635</f>
        <v>12016.59</v>
      </c>
      <c r="C17" s="494">
        <v>0</v>
      </c>
      <c r="D17" s="494">
        <v>0</v>
      </c>
      <c r="E17" s="494">
        <v>0</v>
      </c>
      <c r="F17" s="346">
        <v>0</v>
      </c>
      <c r="G17" s="498">
        <f t="shared" si="1"/>
        <v>12016.59</v>
      </c>
      <c r="H17" s="356">
        <f>+'(8)Earned Incurred YTD6'!C38</f>
        <v>108491.93</v>
      </c>
      <c r="I17" s="38">
        <v>62000</v>
      </c>
    </row>
    <row r="18" spans="1:10" ht="12.75">
      <c r="A18" s="398" t="s">
        <v>142</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143</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483</v>
      </c>
      <c r="J19" s="116" t="e">
        <f>+G19-H19</f>
        <v>#REF!</v>
      </c>
    </row>
    <row r="20" spans="1:9" ht="12.75">
      <c r="A20" s="354" t="s">
        <v>144</v>
      </c>
      <c r="B20" s="494">
        <f>+'[1]TB03-31-04(Final)'!G639</f>
        <v>3506.25</v>
      </c>
      <c r="C20" s="494">
        <v>0</v>
      </c>
      <c r="D20" s="494">
        <v>0</v>
      </c>
      <c r="E20" s="494">
        <v>0</v>
      </c>
      <c r="F20" s="346">
        <v>0</v>
      </c>
      <c r="G20" s="498">
        <f t="shared" si="1"/>
        <v>3506.25</v>
      </c>
      <c r="H20" s="356">
        <f>+G20+G18+G17</f>
        <v>108491.93</v>
      </c>
      <c r="I20" s="38">
        <v>63000</v>
      </c>
    </row>
    <row r="21" spans="1:10" ht="12.75">
      <c r="A21" s="354" t="s">
        <v>145</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112</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136</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146</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147</v>
      </c>
      <c r="B27" s="501"/>
      <c r="C27" s="501"/>
      <c r="D27" s="501"/>
      <c r="E27" s="501"/>
      <c r="F27" s="501"/>
      <c r="G27" s="494"/>
      <c r="H27" s="37"/>
    </row>
    <row r="28" spans="1:8" ht="12.75">
      <c r="A28" s="354" t="s">
        <v>148</v>
      </c>
      <c r="B28" s="494">
        <v>0</v>
      </c>
      <c r="C28" s="494">
        <v>17084</v>
      </c>
      <c r="D28" s="494">
        <v>0</v>
      </c>
      <c r="E28" s="494">
        <v>0</v>
      </c>
      <c r="F28" s="494">
        <v>0</v>
      </c>
      <c r="G28" s="498">
        <f>SUM(B28:F28)</f>
        <v>17084</v>
      </c>
      <c r="H28" s="37"/>
    </row>
    <row r="29" spans="1:8" ht="12.75">
      <c r="A29" s="354" t="s">
        <v>149</v>
      </c>
      <c r="B29" s="494">
        <f>'Balance Sheet-1'!D14</f>
        <v>778840.57</v>
      </c>
      <c r="C29" s="494">
        <v>0</v>
      </c>
      <c r="D29" s="494">
        <v>0</v>
      </c>
      <c r="E29" s="494">
        <v>0</v>
      </c>
      <c r="F29" s="494">
        <v>0</v>
      </c>
      <c r="G29" s="498">
        <f>SUM(B29:F29)</f>
        <v>778840.57</v>
      </c>
      <c r="H29" s="37"/>
    </row>
    <row r="30" spans="1:8" ht="12.75" hidden="1">
      <c r="A30" s="354" t="s">
        <v>421</v>
      </c>
      <c r="B30" s="494">
        <v>0</v>
      </c>
      <c r="C30" s="494">
        <v>0</v>
      </c>
      <c r="D30" s="494">
        <v>0</v>
      </c>
      <c r="E30" s="494">
        <v>0</v>
      </c>
      <c r="F30" s="494">
        <v>0</v>
      </c>
      <c r="G30" s="498">
        <f>SUM(B30:F30)</f>
        <v>0</v>
      </c>
      <c r="H30" s="37" t="s">
        <v>384</v>
      </c>
    </row>
    <row r="31" spans="1:8" ht="12.75">
      <c r="A31" s="354" t="s">
        <v>136</v>
      </c>
      <c r="B31" s="496">
        <f aca="true" t="shared" si="4" ref="B31:G31">SUM(B28:B30)</f>
        <v>778840.57</v>
      </c>
      <c r="C31" s="496">
        <f t="shared" si="4"/>
        <v>17084</v>
      </c>
      <c r="D31" s="496">
        <f t="shared" si="4"/>
        <v>0</v>
      </c>
      <c r="E31" s="496">
        <f t="shared" si="4"/>
        <v>0</v>
      </c>
      <c r="F31" s="496">
        <f t="shared" si="4"/>
        <v>0</v>
      </c>
      <c r="G31" s="497">
        <f t="shared" si="4"/>
        <v>795924.57</v>
      </c>
      <c r="H31" s="39"/>
    </row>
    <row r="32" spans="1:8" ht="12.75">
      <c r="A32" s="354"/>
      <c r="B32" s="494"/>
      <c r="C32" s="494"/>
      <c r="D32" s="494"/>
      <c r="E32" s="494"/>
      <c r="F32" s="494"/>
      <c r="G32" s="494"/>
      <c r="H32" s="37"/>
    </row>
    <row r="33" spans="1:8" ht="12.75">
      <c r="A33" s="393" t="s">
        <v>150</v>
      </c>
      <c r="B33" s="501"/>
      <c r="C33" s="501"/>
      <c r="D33" s="501"/>
      <c r="E33" s="501"/>
      <c r="F33" s="501"/>
      <c r="G33" s="494"/>
      <c r="H33" s="37"/>
    </row>
    <row r="34" spans="1:8" ht="12.75">
      <c r="A34" s="354" t="s">
        <v>151</v>
      </c>
      <c r="B34" s="494">
        <f>'(8)Earned Incurred YTD6'!B49</f>
        <v>10038.47</v>
      </c>
      <c r="C34" s="494">
        <f>'(8)Earned Incurred YTD6'!C49</f>
        <v>0</v>
      </c>
      <c r="D34" s="494">
        <v>0</v>
      </c>
      <c r="E34" s="494">
        <v>0</v>
      </c>
      <c r="F34" s="494">
        <v>0</v>
      </c>
      <c r="G34" s="498">
        <f>SUM(B34:F34)</f>
        <v>10038.47</v>
      </c>
      <c r="H34" s="37">
        <f>-G28+G34</f>
        <v>-7045.530000000001</v>
      </c>
    </row>
    <row r="35" spans="1:8" ht="12.75">
      <c r="A35" s="354" t="s">
        <v>152</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136</v>
      </c>
      <c r="B37" s="496">
        <f aca="true" t="shared" si="5" ref="B37:G37">SUM(B34:B36)</f>
        <v>10038.47</v>
      </c>
      <c r="C37" s="496">
        <f t="shared" si="5"/>
        <v>282394</v>
      </c>
      <c r="D37" s="496">
        <f t="shared" si="5"/>
        <v>0</v>
      </c>
      <c r="E37" s="496">
        <f t="shared" si="5"/>
        <v>0</v>
      </c>
      <c r="F37" s="496">
        <f t="shared" si="5"/>
        <v>0</v>
      </c>
      <c r="G37" s="497">
        <f t="shared" si="5"/>
        <v>292432.47</v>
      </c>
      <c r="H37" s="591">
        <f>+G31-G37</f>
        <v>503492.1</v>
      </c>
    </row>
    <row r="38" spans="1:8" ht="12.75">
      <c r="A38" s="354"/>
      <c r="B38" s="494"/>
      <c r="C38" s="494"/>
      <c r="D38" s="494"/>
      <c r="E38" s="494"/>
      <c r="F38" s="494"/>
      <c r="G38" s="503"/>
      <c r="H38" s="39"/>
    </row>
    <row r="39" spans="1:28" s="42" customFormat="1" ht="12.75">
      <c r="A39" s="400" t="s">
        <v>33</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34</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47</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136</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153</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451</v>
      </c>
      <c r="B46" s="494"/>
      <c r="C46" s="494"/>
      <c r="D46" s="494"/>
      <c r="E46" s="494"/>
      <c r="F46" s="494"/>
      <c r="G46" s="494"/>
      <c r="H46" s="37"/>
    </row>
    <row r="47" spans="1:8" ht="12.75">
      <c r="A47" s="354" t="s">
        <v>111</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154</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155</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156</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157</v>
      </c>
      <c r="B51" s="494">
        <f>'(8)Earned Incurred YTD6'!B32</f>
        <v>25740</v>
      </c>
      <c r="C51" s="494">
        <f>'(8)Earned Incurred YTD6'!C32</f>
        <v>0</v>
      </c>
      <c r="D51" s="494">
        <v>0</v>
      </c>
      <c r="E51" s="494">
        <v>0</v>
      </c>
      <c r="F51" s="346">
        <v>0</v>
      </c>
      <c r="G51" s="498">
        <f>SUM(B51:F51)</f>
        <v>25740</v>
      </c>
      <c r="H51" s="37">
        <f>+'(8)Earned Incurred YTD6'!B32</f>
        <v>25740</v>
      </c>
    </row>
    <row r="52" spans="1:9" ht="12.75">
      <c r="A52" s="403" t="s">
        <v>136</v>
      </c>
      <c r="B52" s="496">
        <f>SUM(B47:B51)-1</f>
        <v>13741721.63183647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452</v>
      </c>
      <c r="B54" s="507"/>
      <c r="C54" s="507"/>
      <c r="D54" s="507"/>
      <c r="E54" s="507"/>
      <c r="F54" s="494"/>
      <c r="G54" s="494"/>
      <c r="H54" s="37"/>
    </row>
    <row r="55" spans="1:8" ht="12.75">
      <c r="A55" s="354" t="s">
        <v>111</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154</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158</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156</v>
      </c>
      <c r="B58" s="494">
        <v>0</v>
      </c>
      <c r="C58" s="494">
        <f>+'(8)Earned Incurred YTD6'!B42</f>
        <v>356304</v>
      </c>
      <c r="D58" s="494">
        <v>0</v>
      </c>
      <c r="E58" s="494">
        <v>0</v>
      </c>
      <c r="F58" s="494">
        <v>0</v>
      </c>
      <c r="G58" s="498">
        <f>SUM(B58:F58)</f>
        <v>356304</v>
      </c>
      <c r="H58" s="37">
        <f>+'(8)Earned Incurred YTD6'!B42</f>
        <v>356304</v>
      </c>
    </row>
    <row r="59" spans="1:8" ht="12.75">
      <c r="A59" s="354" t="s">
        <v>157</v>
      </c>
      <c r="B59" s="494">
        <v>0</v>
      </c>
      <c r="C59" s="494">
        <f>+'(8)Earned Incurred YTD6'!B33</f>
        <v>46320</v>
      </c>
      <c r="D59" s="494">
        <v>0</v>
      </c>
      <c r="E59" s="494">
        <v>0</v>
      </c>
      <c r="F59" s="494">
        <v>0</v>
      </c>
      <c r="G59" s="498">
        <f>SUM(B59:F59)</f>
        <v>46320</v>
      </c>
      <c r="H59" s="37">
        <f>+'(8)Earned Incurred YTD6'!B33</f>
        <v>46320</v>
      </c>
    </row>
    <row r="60" spans="1:8" ht="12.75">
      <c r="A60" s="354" t="s">
        <v>136</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159</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8"/>
  <sheetViews>
    <sheetView tabSelected="1"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64" t="s">
        <v>98</v>
      </c>
      <c r="B1" s="964"/>
      <c r="C1" s="964"/>
      <c r="D1" s="964"/>
      <c r="E1" s="964"/>
    </row>
    <row r="2" spans="1:5" s="11" customFormat="1" ht="15" customHeight="1">
      <c r="A2" s="956"/>
      <c r="B2" s="956"/>
      <c r="C2" s="956"/>
      <c r="D2" s="956"/>
      <c r="E2" s="956"/>
    </row>
    <row r="3" spans="1:5" s="12" customFormat="1" ht="15" customHeight="1">
      <c r="A3" s="965" t="s">
        <v>53</v>
      </c>
      <c r="B3" s="965"/>
      <c r="C3" s="965"/>
      <c r="D3" s="965"/>
      <c r="E3" s="965"/>
    </row>
    <row r="4" spans="1:5" s="12" customFormat="1" ht="15" customHeight="1">
      <c r="A4" s="966" t="s">
        <v>294</v>
      </c>
      <c r="B4" s="966"/>
      <c r="C4" s="966"/>
      <c r="D4" s="966"/>
      <c r="E4" s="966"/>
    </row>
    <row r="5" spans="1:5" s="12" customFormat="1" ht="15" customHeight="1">
      <c r="A5" s="768"/>
      <c r="B5" s="768"/>
      <c r="C5" s="768"/>
      <c r="D5" s="768"/>
      <c r="E5" s="768"/>
    </row>
    <row r="6" spans="1:5" ht="45" customHeight="1">
      <c r="A6" s="805"/>
      <c r="B6" s="888" t="s">
        <v>54</v>
      </c>
      <c r="C6" s="888" t="s">
        <v>55</v>
      </c>
      <c r="D6" s="888" t="s">
        <v>56</v>
      </c>
      <c r="E6" s="888" t="s">
        <v>57</v>
      </c>
    </row>
    <row r="7" spans="1:5" ht="15" customHeight="1">
      <c r="A7" s="806" t="s">
        <v>100</v>
      </c>
      <c r="B7" s="473"/>
      <c r="C7" s="473"/>
      <c r="D7" s="473"/>
      <c r="E7" s="473"/>
    </row>
    <row r="8" spans="1:5" ht="15" customHeight="1">
      <c r="A8" s="810" t="s">
        <v>349</v>
      </c>
      <c r="B8" s="474">
        <f>'[11]3Q08 Trial Balance'!F18+'[11]3Q08 Trial Balance'!F22</f>
        <v>14306596</v>
      </c>
      <c r="C8" s="481">
        <v>0</v>
      </c>
      <c r="D8" s="481">
        <v>0</v>
      </c>
      <c r="E8" s="474">
        <f>SUM(B8:D8)</f>
        <v>14306596</v>
      </c>
    </row>
    <row r="9" spans="1:5" ht="15" customHeight="1">
      <c r="A9" s="810" t="s">
        <v>101</v>
      </c>
      <c r="B9" s="482">
        <v>0</v>
      </c>
      <c r="C9" s="482">
        <f>'[11]3Q08 Trial Balance'!F25</f>
        <v>113840</v>
      </c>
      <c r="D9" s="482">
        <v>0</v>
      </c>
      <c r="E9" s="482">
        <f>SUM(B9:D9)</f>
        <v>113840</v>
      </c>
    </row>
    <row r="10" spans="1:5" ht="15" customHeight="1">
      <c r="A10" s="810" t="s">
        <v>102</v>
      </c>
      <c r="B10" s="482">
        <f>126113.3-45827.88</f>
        <v>80285.42000000001</v>
      </c>
      <c r="C10" s="482">
        <v>0</v>
      </c>
      <c r="D10" s="482">
        <f>B10</f>
        <v>80285.42000000001</v>
      </c>
      <c r="E10" s="482">
        <f>+B10-D10</f>
        <v>0</v>
      </c>
    </row>
    <row r="11" spans="1:7" ht="15" customHeight="1">
      <c r="A11" s="810" t="s">
        <v>350</v>
      </c>
      <c r="B11" s="482">
        <f>926296.38-416356.94+192708.02-57325.1+39350.62-6558.43+'[11]3Q08 Trial Balance'!F37+'[11]3Q08 Trial Balance'!F41+'[11]3Q08 Trial Balance'!F57</f>
        <v>756066.5499999999</v>
      </c>
      <c r="C11" s="482">
        <v>0</v>
      </c>
      <c r="D11" s="482">
        <f>926296.38-416356.94+192708.02-57325.1+39350.62-6558.43</f>
        <v>678114.5499999999</v>
      </c>
      <c r="E11" s="482">
        <f>B11-D11</f>
        <v>77952</v>
      </c>
      <c r="F11" s="903"/>
      <c r="G11" s="813"/>
    </row>
    <row r="12" spans="1:5" ht="15" customHeight="1">
      <c r="A12" s="810" t="s">
        <v>105</v>
      </c>
      <c r="B12" s="482">
        <f>77363.16-63944.96</f>
        <v>13418.200000000004</v>
      </c>
      <c r="C12" s="482">
        <v>0</v>
      </c>
      <c r="D12" s="482">
        <f>B12</f>
        <v>13418.200000000004</v>
      </c>
      <c r="E12" s="482">
        <f>+B12-D12</f>
        <v>0</v>
      </c>
    </row>
    <row r="13" spans="1:6" ht="15" customHeight="1">
      <c r="A13" s="810" t="s">
        <v>332</v>
      </c>
      <c r="B13" s="482">
        <f>'[11]3Q08 Trial Balance'!F29+1418.7+5604.7</f>
        <v>29528.4</v>
      </c>
      <c r="C13" s="482">
        <v>0</v>
      </c>
      <c r="D13" s="482">
        <f>1418.7+5604.7</f>
        <v>7023.4</v>
      </c>
      <c r="E13" s="482">
        <f>+B13-C13-D13</f>
        <v>22505</v>
      </c>
      <c r="F13" s="813"/>
    </row>
    <row r="14" spans="1:5" ht="15" customHeight="1">
      <c r="A14" s="807" t="s">
        <v>106</v>
      </c>
      <c r="B14" s="475">
        <f>SUM(B8:B13)-1</f>
        <v>15185893.57</v>
      </c>
      <c r="C14" s="475">
        <f>SUM(C8:C13)</f>
        <v>113840</v>
      </c>
      <c r="D14" s="475">
        <f>SUM(D8:D13)-1</f>
        <v>778840.57</v>
      </c>
      <c r="E14" s="475">
        <f>SUM(E8:E13)</f>
        <v>14520893</v>
      </c>
    </row>
    <row r="15" spans="1:5" ht="15" customHeight="1">
      <c r="A15" s="808"/>
      <c r="B15" s="476"/>
      <c r="C15" s="476"/>
      <c r="D15" s="476"/>
      <c r="E15" s="476"/>
    </row>
    <row r="16" spans="1:5" ht="15" customHeight="1">
      <c r="A16" s="809" t="s">
        <v>107</v>
      </c>
      <c r="B16" s="476"/>
      <c r="C16" s="476"/>
      <c r="D16" s="476"/>
      <c r="E16" s="476"/>
    </row>
    <row r="17" spans="1:5" ht="15" customHeight="1">
      <c r="A17" s="808" t="s">
        <v>108</v>
      </c>
      <c r="B17" s="476"/>
      <c r="C17" s="476"/>
      <c r="D17" s="476" t="s">
        <v>108</v>
      </c>
      <c r="E17" s="476"/>
    </row>
    <row r="18" spans="1:5" ht="15" customHeight="1">
      <c r="A18" s="810" t="s">
        <v>303</v>
      </c>
      <c r="B18" s="476"/>
      <c r="C18" s="477"/>
      <c r="D18" s="485">
        <f>-'[11]3Q08 Trial Balance'!F190</f>
        <v>2219814</v>
      </c>
      <c r="E18" s="476"/>
    </row>
    <row r="19" spans="1:5" ht="15" customHeight="1">
      <c r="A19" s="810" t="s">
        <v>304</v>
      </c>
      <c r="B19" s="476"/>
      <c r="C19" s="477"/>
      <c r="D19" s="485">
        <f>-'[11]3Q08 Trial Balance'!F193</f>
        <v>466356</v>
      </c>
      <c r="E19" s="476"/>
    </row>
    <row r="20" spans="1:5" ht="15" customHeight="1">
      <c r="A20" s="810" t="s">
        <v>423</v>
      </c>
      <c r="B20" s="476"/>
      <c r="C20" s="477"/>
      <c r="D20" s="485">
        <f>-'[11]3Q08 Trial Balance'!F187</f>
        <v>232832</v>
      </c>
      <c r="E20" s="476"/>
    </row>
    <row r="21" spans="1:5" ht="15" customHeight="1">
      <c r="A21" s="810" t="s">
        <v>368</v>
      </c>
      <c r="B21" s="476"/>
      <c r="C21" s="477"/>
      <c r="D21" s="485">
        <f>-'[11]3Q08 Trial Balance'!F196</f>
        <v>294271</v>
      </c>
      <c r="E21" s="476"/>
    </row>
    <row r="22" spans="1:5" ht="15" customHeight="1">
      <c r="A22" s="810" t="s">
        <v>428</v>
      </c>
      <c r="B22" s="476"/>
      <c r="C22" s="538"/>
      <c r="D22" s="485">
        <f>-'[11]3Q08 Trial Balance'!F203</f>
        <v>129651</v>
      </c>
      <c r="E22" s="485"/>
    </row>
    <row r="23" spans="1:5" ht="15" customHeight="1">
      <c r="A23" s="810" t="s">
        <v>314</v>
      </c>
      <c r="B23" s="476"/>
      <c r="C23" s="538"/>
      <c r="D23" s="485">
        <f>-'[11]3Q08 Trial Balance'!F150</f>
        <v>8819</v>
      </c>
      <c r="E23" s="485"/>
    </row>
    <row r="24" spans="1:5" ht="15" customHeight="1">
      <c r="A24" s="810" t="s">
        <v>429</v>
      </c>
      <c r="B24" s="476"/>
      <c r="C24" s="477"/>
      <c r="D24" s="484">
        <f>-'[11]3Q08 Trial Balance'!F147</f>
        <v>9226</v>
      </c>
      <c r="E24" s="477"/>
    </row>
    <row r="25" spans="1:5" ht="15" customHeight="1">
      <c r="A25" s="810"/>
      <c r="B25" s="357"/>
      <c r="C25" s="476"/>
      <c r="D25" s="476"/>
      <c r="E25" s="485"/>
    </row>
    <row r="26" spans="1:5" ht="15" customHeight="1">
      <c r="A26" s="807" t="s">
        <v>109</v>
      </c>
      <c r="B26" s="476"/>
      <c r="C26" s="476"/>
      <c r="D26" s="476"/>
      <c r="E26" s="486">
        <f>SUM(D18:D25)</f>
        <v>3360969</v>
      </c>
    </row>
    <row r="27" spans="1:5" ht="15" customHeight="1">
      <c r="A27" s="808"/>
      <c r="B27" s="476"/>
      <c r="C27" s="476"/>
      <c r="D27" s="476"/>
      <c r="E27" s="476"/>
    </row>
    <row r="28" spans="1:5" ht="15" customHeight="1">
      <c r="A28" s="809" t="s">
        <v>110</v>
      </c>
      <c r="B28" s="476"/>
      <c r="C28" s="476"/>
      <c r="D28" s="476"/>
      <c r="E28" s="476"/>
    </row>
    <row r="29" spans="1:5" ht="15" customHeight="1">
      <c r="A29" s="810" t="s">
        <v>111</v>
      </c>
      <c r="B29" s="476"/>
      <c r="C29" s="477"/>
      <c r="D29" s="485">
        <f>-'[11]3Q08 Trial Balance'!F73</f>
        <v>7527378</v>
      </c>
      <c r="E29" s="476"/>
    </row>
    <row r="30" spans="1:7" ht="15" customHeight="1">
      <c r="A30" s="810" t="s">
        <v>420</v>
      </c>
      <c r="B30" s="476"/>
      <c r="C30" s="477"/>
      <c r="D30" s="485">
        <f>-'[11]3Q08 Trial Balance'!F90</f>
        <v>2323213</v>
      </c>
      <c r="E30" s="485"/>
      <c r="F30" s="24"/>
      <c r="G30" s="906"/>
    </row>
    <row r="31" spans="1:7" ht="15" customHeight="1">
      <c r="A31" s="810" t="s">
        <v>419</v>
      </c>
      <c r="B31" s="476"/>
      <c r="C31" s="477"/>
      <c r="D31" s="485">
        <f>-'[11]3Q08 Trial Balance'!F101</f>
        <v>1155335</v>
      </c>
      <c r="E31" s="485"/>
      <c r="F31" s="24"/>
      <c r="G31" s="906"/>
    </row>
    <row r="32" spans="1:7" ht="15" customHeight="1">
      <c r="A32" s="810" t="s">
        <v>424</v>
      </c>
      <c r="B32" s="476"/>
      <c r="C32" s="477"/>
      <c r="D32" s="485">
        <f>-'[11]3Q08 Trial Balance'!F120</f>
        <v>300446</v>
      </c>
      <c r="E32" s="485"/>
      <c r="F32" s="24"/>
      <c r="G32" s="906"/>
    </row>
    <row r="33" spans="1:8" ht="15" customHeight="1">
      <c r="A33" s="810" t="s">
        <v>425</v>
      </c>
      <c r="B33" s="477"/>
      <c r="C33" s="477"/>
      <c r="D33" s="485">
        <f>-'[11]3Q08 Trial Balance'!F137</f>
        <v>112546</v>
      </c>
      <c r="E33" s="485"/>
      <c r="F33" s="24"/>
      <c r="G33" s="24"/>
      <c r="H33" s="24"/>
    </row>
    <row r="34" spans="1:5" ht="15" customHeight="1">
      <c r="A34" s="810" t="s">
        <v>453</v>
      </c>
      <c r="B34" s="476"/>
      <c r="C34" s="477"/>
      <c r="D34" s="122">
        <f>-'[11]3Q08 Trial Balance'!F159</f>
        <v>210561</v>
      </c>
      <c r="E34" s="476"/>
    </row>
    <row r="35" spans="1:5" ht="15" customHeight="1">
      <c r="A35" s="810" t="s">
        <v>447</v>
      </c>
      <c r="B35" s="476"/>
      <c r="C35" s="476"/>
      <c r="D35" s="484">
        <f>-'[11]3Q08 Trial Balance'!F143</f>
        <v>25740</v>
      </c>
      <c r="E35" s="476"/>
    </row>
    <row r="36" spans="1:5" ht="15" customHeight="1">
      <c r="A36" s="810"/>
      <c r="B36" s="476"/>
      <c r="C36" s="476"/>
      <c r="D36" s="476"/>
      <c r="E36" s="476"/>
    </row>
    <row r="37" spans="1:5" ht="15" customHeight="1">
      <c r="A37" s="811" t="s">
        <v>228</v>
      </c>
      <c r="B37" s="476"/>
      <c r="C37" s="476"/>
      <c r="D37" s="477"/>
      <c r="E37" s="486">
        <f>SUM(D29:D35)</f>
        <v>11655219</v>
      </c>
    </row>
    <row r="38" spans="1:5" ht="15" customHeight="1">
      <c r="A38" s="811"/>
      <c r="B38" s="476"/>
      <c r="C38" s="476"/>
      <c r="D38" s="477"/>
      <c r="E38" s="479"/>
    </row>
    <row r="39" spans="1:5" ht="15" customHeight="1">
      <c r="A39" s="807" t="s">
        <v>113</v>
      </c>
      <c r="B39" s="476"/>
      <c r="C39" s="476"/>
      <c r="D39" s="477"/>
      <c r="E39" s="487">
        <f>E37+E26</f>
        <v>15016188</v>
      </c>
    </row>
    <row r="40" spans="1:5" ht="15" customHeight="1">
      <c r="A40" s="808"/>
      <c r="B40" s="476"/>
      <c r="C40" s="476"/>
      <c r="D40" s="477"/>
      <c r="E40" s="476"/>
    </row>
    <row r="41" spans="1:5" ht="15" customHeight="1">
      <c r="A41" s="809" t="s">
        <v>114</v>
      </c>
      <c r="B41" s="476"/>
      <c r="C41" s="476"/>
      <c r="D41" s="477"/>
      <c r="E41" s="476"/>
    </row>
    <row r="42" spans="1:7" ht="15" customHeight="1">
      <c r="A42" s="810" t="s">
        <v>295</v>
      </c>
      <c r="B42" s="476"/>
      <c r="C42" s="476"/>
      <c r="D42" s="477"/>
      <c r="E42" s="924">
        <f>+E14-E39</f>
        <v>-495295</v>
      </c>
      <c r="F42" s="812"/>
      <c r="G42" s="813"/>
    </row>
    <row r="43" spans="1:5" ht="15" customHeight="1">
      <c r="A43" s="808"/>
      <c r="B43" s="477"/>
      <c r="C43" s="477"/>
      <c r="D43" s="477"/>
      <c r="E43" s="476"/>
    </row>
    <row r="44" spans="1:7" ht="15" customHeight="1" thickBot="1">
      <c r="A44" s="811" t="s">
        <v>115</v>
      </c>
      <c r="B44" s="476"/>
      <c r="C44" s="476"/>
      <c r="D44" s="476"/>
      <c r="E44" s="480">
        <f>E39+E42</f>
        <v>14520893</v>
      </c>
      <c r="F44" s="903"/>
      <c r="G44" s="374"/>
    </row>
    <row r="45" spans="1:6" ht="15" customHeight="1" thickTop="1">
      <c r="A45" s="15"/>
      <c r="B45" s="472"/>
      <c r="C45" s="472"/>
      <c r="D45" s="472"/>
      <c r="E45" s="472"/>
      <c r="F45" s="374"/>
    </row>
    <row r="54" spans="1:5" ht="15" customHeight="1">
      <c r="A54" s="803"/>
      <c r="E54" s="804"/>
    </row>
    <row r="58" spans="1:5" s="803" customFormat="1" ht="15" customHeight="1">
      <c r="A58" s="931"/>
      <c r="B58" s="932"/>
      <c r="C58" s="932"/>
      <c r="E58" s="939"/>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6" t="s">
        <v>98</v>
      </c>
      <c r="B1" s="977"/>
      <c r="C1" s="977"/>
      <c r="D1" s="978"/>
      <c r="E1" s="968"/>
      <c r="F1" s="968"/>
      <c r="G1" s="968"/>
      <c r="H1" s="969"/>
      <c r="I1" s="45"/>
      <c r="J1" s="45"/>
      <c r="K1" s="45"/>
      <c r="L1" s="45"/>
      <c r="M1" s="967"/>
      <c r="N1" s="968"/>
      <c r="O1" s="968"/>
      <c r="P1" s="969"/>
      <c r="Q1" s="967"/>
      <c r="R1" s="968"/>
      <c r="S1" s="968"/>
      <c r="T1" s="969"/>
      <c r="U1" s="967"/>
      <c r="V1" s="968"/>
      <c r="W1" s="968"/>
      <c r="X1" s="969"/>
      <c r="Y1" s="967"/>
      <c r="Z1" s="968"/>
      <c r="AA1" s="968"/>
      <c r="AB1" s="969"/>
      <c r="AC1" s="967"/>
      <c r="AD1" s="968"/>
      <c r="AE1" s="968"/>
      <c r="AF1" s="969"/>
      <c r="AG1" s="967"/>
      <c r="AH1" s="968"/>
      <c r="AI1" s="968"/>
      <c r="AJ1" s="969"/>
      <c r="AK1" s="967"/>
      <c r="AL1" s="968"/>
      <c r="AM1" s="968"/>
      <c r="AN1" s="969"/>
      <c r="AO1" s="967"/>
      <c r="AP1" s="968"/>
      <c r="AQ1" s="968"/>
      <c r="AR1" s="969"/>
      <c r="AS1" s="967"/>
      <c r="AT1" s="968"/>
      <c r="AU1" s="968"/>
      <c r="AV1" s="969"/>
      <c r="AW1" s="967"/>
      <c r="AX1" s="968"/>
      <c r="AY1" s="968"/>
      <c r="AZ1" s="969"/>
      <c r="BA1" s="967"/>
      <c r="BB1" s="968"/>
      <c r="BC1" s="968"/>
      <c r="BD1" s="969"/>
      <c r="BE1" s="967"/>
      <c r="BF1" s="968"/>
      <c r="BG1" s="968"/>
      <c r="BH1" s="969"/>
      <c r="BI1" s="967"/>
      <c r="BJ1" s="968"/>
      <c r="BK1" s="968"/>
      <c r="BL1" s="969"/>
      <c r="BM1" s="967"/>
      <c r="BN1" s="968"/>
      <c r="BO1" s="968"/>
      <c r="BP1" s="969"/>
      <c r="BQ1" s="967"/>
      <c r="BR1" s="968"/>
      <c r="BS1" s="968"/>
      <c r="BT1" s="969"/>
      <c r="BU1" s="967"/>
      <c r="BV1" s="968"/>
      <c r="BW1" s="968"/>
      <c r="BX1" s="969"/>
      <c r="BY1" s="967"/>
      <c r="BZ1" s="968"/>
      <c r="CA1" s="968"/>
      <c r="CB1" s="969"/>
      <c r="CC1" s="967"/>
      <c r="CD1" s="968"/>
      <c r="CE1" s="968"/>
      <c r="CF1" s="969"/>
      <c r="CG1" s="967"/>
      <c r="CH1" s="968"/>
      <c r="CI1" s="968"/>
      <c r="CJ1" s="969"/>
      <c r="CK1" s="967"/>
      <c r="CL1" s="968"/>
      <c r="CM1" s="968"/>
      <c r="CN1" s="969"/>
      <c r="CO1" s="967"/>
      <c r="CP1" s="968"/>
      <c r="CQ1" s="968"/>
      <c r="CR1" s="969"/>
      <c r="CS1" s="967"/>
      <c r="CT1" s="968"/>
      <c r="CU1" s="968"/>
      <c r="CV1" s="969"/>
      <c r="CW1" s="967"/>
      <c r="CX1" s="968"/>
      <c r="CY1" s="968"/>
      <c r="CZ1" s="969"/>
      <c r="DA1" s="967"/>
      <c r="DB1" s="968"/>
      <c r="DC1" s="968"/>
      <c r="DD1" s="969"/>
      <c r="DE1" s="967"/>
      <c r="DF1" s="968"/>
      <c r="DG1" s="968"/>
      <c r="DH1" s="969"/>
      <c r="DI1" s="967"/>
      <c r="DJ1" s="968"/>
      <c r="DK1" s="968"/>
      <c r="DL1" s="969"/>
      <c r="DM1" s="967"/>
      <c r="DN1" s="968"/>
      <c r="DO1" s="968"/>
      <c r="DP1" s="969"/>
      <c r="DQ1" s="967"/>
      <c r="DR1" s="968"/>
      <c r="DS1" s="968"/>
      <c r="DT1" s="969"/>
      <c r="DU1" s="967"/>
      <c r="DV1" s="968"/>
      <c r="DW1" s="968"/>
      <c r="DX1" s="969"/>
      <c r="DY1" s="967"/>
      <c r="DZ1" s="968"/>
      <c r="EA1" s="968"/>
      <c r="EB1" s="969"/>
      <c r="EC1" s="967"/>
      <c r="ED1" s="968"/>
      <c r="EE1" s="968"/>
      <c r="EF1" s="969"/>
      <c r="EG1" s="967"/>
      <c r="EH1" s="968"/>
      <c r="EI1" s="968"/>
      <c r="EJ1" s="969"/>
      <c r="EK1" s="967"/>
      <c r="EL1" s="968"/>
      <c r="EM1" s="968"/>
      <c r="EN1" s="969"/>
      <c r="EO1" s="967"/>
      <c r="EP1" s="968"/>
      <c r="EQ1" s="968"/>
      <c r="ER1" s="969"/>
      <c r="ES1" s="967"/>
      <c r="ET1" s="968"/>
      <c r="EU1" s="968"/>
      <c r="EV1" s="969"/>
      <c r="EW1" s="967"/>
      <c r="EX1" s="968"/>
      <c r="EY1" s="968"/>
      <c r="EZ1" s="969"/>
      <c r="FA1" s="967"/>
      <c r="FB1" s="968"/>
      <c r="FC1" s="968"/>
      <c r="FD1" s="969"/>
      <c r="FE1" s="967"/>
      <c r="FF1" s="968"/>
      <c r="FG1" s="968"/>
      <c r="FH1" s="969"/>
      <c r="FI1" s="967"/>
      <c r="FJ1" s="968"/>
      <c r="FK1" s="968"/>
      <c r="FL1" s="969"/>
      <c r="FM1" s="967"/>
      <c r="FN1" s="968"/>
      <c r="FO1" s="968"/>
      <c r="FP1" s="969"/>
      <c r="FQ1" s="967"/>
      <c r="FR1" s="968"/>
      <c r="FS1" s="968"/>
      <c r="FT1" s="969"/>
      <c r="FU1" s="967"/>
      <c r="FV1" s="968"/>
      <c r="FW1" s="968"/>
      <c r="FX1" s="969"/>
      <c r="FY1" s="967"/>
      <c r="FZ1" s="968"/>
      <c r="GA1" s="968"/>
      <c r="GB1" s="969"/>
      <c r="GC1" s="967"/>
      <c r="GD1" s="968"/>
      <c r="GE1" s="968"/>
      <c r="GF1" s="969"/>
      <c r="GG1" s="967"/>
      <c r="GH1" s="968"/>
      <c r="GI1" s="968"/>
      <c r="GJ1" s="969"/>
      <c r="GK1" s="967"/>
      <c r="GL1" s="968"/>
      <c r="GM1" s="968"/>
      <c r="GN1" s="969"/>
      <c r="GO1" s="967"/>
      <c r="GP1" s="968"/>
      <c r="GQ1" s="968"/>
      <c r="GR1" s="969"/>
      <c r="GS1" s="967"/>
      <c r="GT1" s="968"/>
      <c r="GU1" s="968"/>
      <c r="GV1" s="969"/>
      <c r="GW1" s="967"/>
      <c r="GX1" s="968"/>
      <c r="GY1" s="968"/>
      <c r="GZ1" s="969"/>
      <c r="HA1" s="967"/>
      <c r="HB1" s="968"/>
      <c r="HC1" s="968"/>
      <c r="HD1" s="969"/>
      <c r="HE1" s="967"/>
      <c r="HF1" s="968"/>
      <c r="HG1" s="968"/>
      <c r="HH1" s="969"/>
      <c r="HI1" s="967"/>
      <c r="HJ1" s="968"/>
      <c r="HK1" s="968"/>
      <c r="HL1" s="969"/>
      <c r="HM1" s="967"/>
      <c r="HN1" s="968"/>
      <c r="HO1" s="968"/>
      <c r="HP1" s="969"/>
      <c r="HQ1" s="967"/>
      <c r="HR1" s="968"/>
      <c r="HS1" s="968"/>
      <c r="HT1" s="969"/>
      <c r="HU1" s="967"/>
      <c r="HV1" s="968"/>
      <c r="HW1" s="968"/>
      <c r="HX1" s="969"/>
      <c r="HY1" s="967"/>
      <c r="HZ1" s="968"/>
      <c r="IA1" s="968"/>
      <c r="IB1" s="969"/>
      <c r="IC1" s="967"/>
      <c r="ID1" s="968"/>
      <c r="IE1" s="968"/>
      <c r="IF1" s="969"/>
      <c r="IG1" s="967"/>
      <c r="IH1" s="968"/>
      <c r="II1" s="968"/>
      <c r="IJ1" s="969"/>
      <c r="IK1" s="967"/>
      <c r="IL1" s="968"/>
      <c r="IM1" s="968"/>
      <c r="IN1" s="969"/>
      <c r="IO1" s="967"/>
      <c r="IP1" s="968"/>
      <c r="IQ1" s="968"/>
      <c r="IR1" s="969"/>
      <c r="IS1" s="967"/>
      <c r="IT1" s="968"/>
      <c r="IU1" s="968"/>
      <c r="IV1" s="969"/>
    </row>
    <row r="2" spans="1:6" s="45" customFormat="1" ht="18" customHeight="1">
      <c r="A2" s="955"/>
      <c r="B2" s="956"/>
      <c r="C2" s="956"/>
      <c r="D2" s="979"/>
      <c r="F2" s="288"/>
    </row>
    <row r="3" spans="1:6" s="45" customFormat="1" ht="18.75">
      <c r="A3" s="973" t="s">
        <v>61</v>
      </c>
      <c r="B3" s="974"/>
      <c r="C3" s="974"/>
      <c r="D3" s="975"/>
      <c r="F3" s="288"/>
    </row>
    <row r="4" spans="1:6" s="45" customFormat="1" ht="18.75">
      <c r="A4" s="973" t="s">
        <v>160</v>
      </c>
      <c r="B4" s="974"/>
      <c r="C4" s="974"/>
      <c r="D4" s="975"/>
      <c r="F4" s="288"/>
    </row>
    <row r="5" spans="1:6" s="45" customFormat="1" ht="18.75">
      <c r="A5" s="973" t="str">
        <f>+'(9)Equity YTD4'!A4</f>
        <v>YTD PERIOD MARCH 31st, 2004</v>
      </c>
      <c r="B5" s="974"/>
      <c r="C5" s="974"/>
      <c r="D5" s="975"/>
      <c r="F5" s="288"/>
    </row>
    <row r="6" spans="1:6" s="18" customFormat="1" ht="15" customHeight="1">
      <c r="A6" s="415"/>
      <c r="B6" s="519"/>
      <c r="C6" s="519"/>
      <c r="D6" s="520"/>
      <c r="F6" s="22"/>
    </row>
    <row r="7" spans="1:6" s="18" customFormat="1" ht="15">
      <c r="A7" s="416" t="s">
        <v>161</v>
      </c>
      <c r="B7" s="521" t="str">
        <f>+'Earned Incurred QTD-5'!B8</f>
        <v>9-30-08</v>
      </c>
      <c r="C7" s="522"/>
      <c r="D7" s="523"/>
      <c r="F7" s="289" t="s">
        <v>205</v>
      </c>
    </row>
    <row r="8" spans="1:6" s="18" customFormat="1" ht="15">
      <c r="A8" s="416"/>
      <c r="B8" s="524" t="s">
        <v>369</v>
      </c>
      <c r="C8" s="525"/>
      <c r="D8" s="526"/>
      <c r="F8" s="290" t="s">
        <v>37</v>
      </c>
    </row>
    <row r="9" spans="1:6" s="18" customFormat="1" ht="15">
      <c r="A9" s="417"/>
      <c r="B9" s="527" t="s">
        <v>108</v>
      </c>
      <c r="C9" s="528"/>
      <c r="D9" s="529"/>
      <c r="F9" s="22"/>
    </row>
    <row r="10" spans="1:6" s="18" customFormat="1" ht="15">
      <c r="A10" s="418" t="s">
        <v>162</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163</v>
      </c>
      <c r="B12" s="509" t="e">
        <f>'(7)Premiums YTD8'!G18</f>
        <v>#REF!</v>
      </c>
      <c r="C12" s="122"/>
      <c r="D12" s="510"/>
      <c r="F12" s="22"/>
    </row>
    <row r="13" spans="1:6" s="18" customFormat="1" ht="14.25">
      <c r="A13" s="419" t="s">
        <v>182</v>
      </c>
      <c r="B13" s="511">
        <v>8897126</v>
      </c>
      <c r="C13" s="122"/>
      <c r="D13" s="510"/>
      <c r="F13" s="22"/>
    </row>
    <row r="14" spans="1:6" s="18" customFormat="1" ht="15" customHeight="1">
      <c r="A14" s="419" t="s">
        <v>183</v>
      </c>
      <c r="B14" s="509"/>
      <c r="C14" s="512" t="e">
        <f>B13-B12</f>
        <v>#REF!</v>
      </c>
      <c r="D14" s="510"/>
      <c r="F14" s="22">
        <v>41100</v>
      </c>
    </row>
    <row r="15" spans="1:6" s="18" customFormat="1" ht="15" customHeight="1">
      <c r="A15" s="418" t="s">
        <v>184</v>
      </c>
      <c r="B15" s="509"/>
      <c r="C15" s="122"/>
      <c r="D15" s="563" t="e">
        <f>C10+C14</f>
        <v>#REF!</v>
      </c>
      <c r="E15" s="127" t="e">
        <f>+'(7)Premiums YTD8'!G30</f>
        <v>#REF!</v>
      </c>
      <c r="F15" s="22"/>
    </row>
    <row r="16" spans="1:6" s="18" customFormat="1" ht="14.25">
      <c r="A16" s="419" t="s">
        <v>185</v>
      </c>
      <c r="B16" s="509"/>
      <c r="C16" s="122">
        <f>+'[1]TB03-31-04(Final)'!G384</f>
        <v>3791762.3499999996</v>
      </c>
      <c r="D16" s="510"/>
      <c r="F16" s="22" t="s">
        <v>206</v>
      </c>
    </row>
    <row r="17" spans="1:6" s="18" customFormat="1" ht="14.25">
      <c r="A17" s="419" t="s">
        <v>186</v>
      </c>
      <c r="B17" s="509"/>
      <c r="C17" s="512">
        <f>-'[1]TB03-31-04(Final)'!G405+1</f>
        <v>8001.969999999999</v>
      </c>
      <c r="D17" s="510"/>
      <c r="F17" s="22">
        <v>51108</v>
      </c>
    </row>
    <row r="18" spans="1:6" s="18" customFormat="1" ht="15">
      <c r="A18" s="418" t="s">
        <v>187</v>
      </c>
      <c r="B18" s="509"/>
      <c r="C18" s="122">
        <f>C16-C17</f>
        <v>3783760.3799999994</v>
      </c>
      <c r="D18" s="510"/>
      <c r="F18" s="22"/>
    </row>
    <row r="19" spans="1:6" s="18" customFormat="1" ht="14.25">
      <c r="A19" s="419" t="s">
        <v>188</v>
      </c>
      <c r="B19" s="509" t="e">
        <f>'(6)Losses Incurred YTD10'!H18</f>
        <v>#REF!</v>
      </c>
      <c r="C19" s="122" t="s">
        <v>108</v>
      </c>
      <c r="D19" s="510"/>
      <c r="F19" s="22"/>
    </row>
    <row r="20" spans="1:6" s="18" customFormat="1" ht="14.25">
      <c r="A20" s="419" t="s">
        <v>189</v>
      </c>
      <c r="B20" s="511">
        <v>5587477</v>
      </c>
      <c r="C20" s="122"/>
      <c r="D20" s="510"/>
      <c r="F20" s="22"/>
    </row>
    <row r="21" spans="1:6" s="18" customFormat="1" ht="14.25">
      <c r="A21" s="419" t="s">
        <v>190</v>
      </c>
      <c r="B21" s="514"/>
      <c r="C21" s="512" t="e">
        <f>B19-B20</f>
        <v>#REF!</v>
      </c>
      <c r="D21" s="510"/>
      <c r="F21" s="22" t="s">
        <v>207</v>
      </c>
    </row>
    <row r="22" spans="1:6" s="18" customFormat="1" ht="15">
      <c r="A22" s="418" t="s">
        <v>191</v>
      </c>
      <c r="B22" s="509"/>
      <c r="C22" s="122"/>
      <c r="D22" s="510" t="e">
        <f>C18+C21</f>
        <v>#REF!</v>
      </c>
      <c r="E22" s="48" t="e">
        <f>+'(6)Losses Incurred YTD10'!H30</f>
        <v>#REF!</v>
      </c>
      <c r="F22" s="22"/>
    </row>
    <row r="23" spans="1:6" s="18" customFormat="1" ht="14.25">
      <c r="A23" s="419" t="s">
        <v>192</v>
      </c>
      <c r="B23" s="509"/>
      <c r="C23" s="122">
        <f>+'[1]TB03-31-04(Final)'!G486</f>
        <v>292907.87</v>
      </c>
      <c r="D23" s="510"/>
      <c r="E23" s="109"/>
      <c r="F23" s="22">
        <v>51200</v>
      </c>
    </row>
    <row r="24" spans="1:6" s="18" customFormat="1" ht="14.25">
      <c r="A24" s="419" t="s">
        <v>193</v>
      </c>
      <c r="B24" s="509"/>
      <c r="C24" s="512">
        <f>+'[1]TB03-31-04(Final)'!G547</f>
        <v>139421.58999999997</v>
      </c>
      <c r="D24" s="510"/>
      <c r="F24" s="22">
        <v>51300</v>
      </c>
    </row>
    <row r="25" spans="1:6" s="18" customFormat="1" ht="15">
      <c r="A25" s="418" t="s">
        <v>194</v>
      </c>
      <c r="B25" s="509"/>
      <c r="C25" s="122">
        <f>C23+C24</f>
        <v>432329.45999999996</v>
      </c>
      <c r="D25" s="510"/>
      <c r="F25" s="22"/>
    </row>
    <row r="26" spans="1:6" s="18" customFormat="1" ht="14.25">
      <c r="A26" s="419" t="s">
        <v>195</v>
      </c>
      <c r="B26" s="509" t="e">
        <f>'(4)Loss Expenses YTD12'!H18</f>
        <v>#REF!</v>
      </c>
      <c r="C26" s="122"/>
      <c r="D26" s="510"/>
      <c r="F26" s="22"/>
    </row>
    <row r="27" spans="1:9" s="18" customFormat="1" ht="14.25">
      <c r="A27" s="419" t="s">
        <v>196</v>
      </c>
      <c r="B27" s="511">
        <v>474837</v>
      </c>
      <c r="C27" s="122"/>
      <c r="D27" s="510"/>
      <c r="F27" s="22"/>
      <c r="I27" s="122">
        <f>31050</f>
        <v>31050</v>
      </c>
    </row>
    <row r="28" spans="1:9" s="18" customFormat="1" ht="14.25">
      <c r="A28" s="419" t="s">
        <v>197</v>
      </c>
      <c r="B28" s="509"/>
      <c r="C28" s="512" t="e">
        <f>B26-B27</f>
        <v>#REF!</v>
      </c>
      <c r="D28" s="510"/>
      <c r="F28" s="22" t="s">
        <v>208</v>
      </c>
      <c r="I28" s="122">
        <f>20347.1</f>
        <v>20347.1</v>
      </c>
    </row>
    <row r="29" spans="1:9" s="18" customFormat="1" ht="15">
      <c r="A29" s="418" t="s">
        <v>198</v>
      </c>
      <c r="B29" s="509"/>
      <c r="C29" s="122"/>
      <c r="D29" s="513" t="e">
        <f>C25+C28</f>
        <v>#REF!</v>
      </c>
      <c r="E29" s="48" t="e">
        <f>+'(4)Loss Expenses YTD12'!H30</f>
        <v>#REF!</v>
      </c>
      <c r="F29" s="22"/>
      <c r="I29" s="122">
        <f>6478.27</f>
        <v>6478.27</v>
      </c>
    </row>
    <row r="30" spans="1:9" s="18" customFormat="1" ht="15">
      <c r="A30" s="418" t="s">
        <v>199</v>
      </c>
      <c r="B30" s="509"/>
      <c r="C30" s="122"/>
      <c r="D30" s="515" t="e">
        <f>D22+D29</f>
        <v>#REF!</v>
      </c>
      <c r="F30" s="22"/>
      <c r="I30" s="122">
        <f>23108.63</f>
        <v>23108.63</v>
      </c>
    </row>
    <row r="31" spans="1:9" s="18" customFormat="1" ht="14.25">
      <c r="A31" s="419" t="s">
        <v>200</v>
      </c>
      <c r="B31" s="509"/>
      <c r="C31" s="122">
        <f>23108.63+6478.27+20347.1+10350+20700+1200+600</f>
        <v>82784</v>
      </c>
      <c r="D31" s="510"/>
      <c r="F31" s="22"/>
      <c r="I31" s="122">
        <f>SUM(I27:I30)</f>
        <v>80984</v>
      </c>
    </row>
    <row r="32" spans="1:6" s="18" customFormat="1" ht="14.25">
      <c r="A32" s="419" t="s">
        <v>201</v>
      </c>
      <c r="B32" s="509">
        <f>+'Balance Sheet-1'!D35</f>
        <v>25740</v>
      </c>
      <c r="C32" s="122"/>
      <c r="D32" s="510"/>
      <c r="F32" s="22">
        <v>24000</v>
      </c>
    </row>
    <row r="33" spans="1:6" s="18" customFormat="1" ht="14.25">
      <c r="A33" s="419" t="s">
        <v>202</v>
      </c>
      <c r="B33" s="511">
        <v>46320</v>
      </c>
      <c r="C33" s="122" t="s">
        <v>108</v>
      </c>
      <c r="D33" s="510"/>
      <c r="F33" s="22"/>
    </row>
    <row r="34" spans="1:6" s="18" customFormat="1" ht="14.25">
      <c r="A34" s="419" t="s">
        <v>203</v>
      </c>
      <c r="B34" s="509"/>
      <c r="C34" s="512">
        <f>B32-B33</f>
        <v>-20580</v>
      </c>
      <c r="D34" s="510"/>
      <c r="F34" s="22"/>
    </row>
    <row r="35" spans="1:6" s="18" customFormat="1" ht="14.25" hidden="1">
      <c r="A35" s="419"/>
      <c r="B35" s="509"/>
      <c r="C35" s="122"/>
      <c r="D35" s="510"/>
      <c r="F35" s="22"/>
    </row>
    <row r="36" spans="1:10" s="18" customFormat="1" ht="15" customHeight="1">
      <c r="A36" s="418" t="s">
        <v>204</v>
      </c>
      <c r="B36" s="509"/>
      <c r="C36" s="122" t="s">
        <v>108</v>
      </c>
      <c r="D36" s="510">
        <f>SUM(C31:C35)</f>
        <v>62204</v>
      </c>
      <c r="E36" s="253">
        <f>+'[1]TB03-31-04(Final)'!G644</f>
        <v>22313.94</v>
      </c>
      <c r="F36" s="22">
        <v>64000</v>
      </c>
      <c r="I36" s="18">
        <v>97598.57</v>
      </c>
      <c r="J36" s="114">
        <f>+D36-I36</f>
        <v>-35394.57000000001</v>
      </c>
    </row>
    <row r="37" spans="1:6" s="18" customFormat="1" ht="13.5" customHeight="1">
      <c r="A37" s="410" t="s">
        <v>450</v>
      </c>
      <c r="B37" s="509"/>
      <c r="C37" s="127"/>
      <c r="D37" s="516">
        <f>+'[1]TB03-31-04(Final)'!G630</f>
        <v>528557.35</v>
      </c>
      <c r="F37" s="22" t="s">
        <v>209</v>
      </c>
    </row>
    <row r="38" spans="1:6" s="18" customFormat="1" ht="13.5" customHeight="1">
      <c r="A38" s="410" t="s">
        <v>63</v>
      </c>
      <c r="B38" s="509"/>
      <c r="C38" s="122">
        <f>+'[1]TB03-31-04(Final)'!G635+'[1]TB03-31-04(Final)'!G639+'[1]TB03-31-04(Final)'!G647</f>
        <v>108491.93</v>
      </c>
      <c r="D38" s="510"/>
      <c r="F38" s="22" t="s">
        <v>210</v>
      </c>
    </row>
    <row r="39" spans="1:9" s="18" customFormat="1" ht="14.25">
      <c r="A39" s="410" t="s">
        <v>496</v>
      </c>
      <c r="B39" s="509"/>
      <c r="C39" s="559">
        <f>+'[1]TB03-31-04(Final)'!G1005-'(8)Earned Incurred YTD6'!C43</f>
        <v>995251.8099999997</v>
      </c>
      <c r="D39" s="510"/>
      <c r="E39" s="120"/>
      <c r="F39" s="22" t="s">
        <v>211</v>
      </c>
      <c r="I39" s="148"/>
    </row>
    <row r="40" spans="1:9" s="18" customFormat="1" ht="15">
      <c r="A40" s="409" t="s">
        <v>497</v>
      </c>
      <c r="B40" s="509"/>
      <c r="C40" s="560">
        <f>SUM(C38:C39)-1</f>
        <v>1103742.7399999998</v>
      </c>
      <c r="D40" s="510"/>
      <c r="E40" s="120"/>
      <c r="F40" s="22"/>
      <c r="I40" s="148"/>
    </row>
    <row r="41" spans="1:6" s="18" customFormat="1" ht="14.25">
      <c r="A41" s="410" t="s">
        <v>201</v>
      </c>
      <c r="B41" s="509">
        <f>-'[1]TB03-31-04(Final)'!G217</f>
        <v>330321.9</v>
      </c>
      <c r="C41" s="122"/>
      <c r="D41" s="510"/>
      <c r="F41" s="22"/>
    </row>
    <row r="42" spans="1:6" s="18" customFormat="1" ht="14.25">
      <c r="A42" s="410" t="s">
        <v>202</v>
      </c>
      <c r="B42" s="511">
        <v>356304</v>
      </c>
      <c r="C42" s="122" t="s">
        <v>108</v>
      </c>
      <c r="D42" s="510"/>
      <c r="F42" s="22"/>
    </row>
    <row r="43" spans="1:6" s="18" customFormat="1" ht="14.25">
      <c r="A43" s="410" t="s">
        <v>498</v>
      </c>
      <c r="B43" s="509"/>
      <c r="C43" s="512">
        <f>B41-B42</f>
        <v>-25982.099999999977</v>
      </c>
      <c r="D43" s="510"/>
      <c r="E43" s="238">
        <f>+C38+C39+C43</f>
        <v>1077761.6399999997</v>
      </c>
      <c r="F43" s="22"/>
    </row>
    <row r="44" spans="1:6" s="18" customFormat="1" ht="15">
      <c r="A44" s="409" t="s">
        <v>62</v>
      </c>
      <c r="B44" s="509"/>
      <c r="C44" s="122"/>
      <c r="D44" s="513">
        <f>SUM(C40:C43)+2</f>
        <v>1077762.6399999997</v>
      </c>
      <c r="E44" s="120"/>
      <c r="F44" s="22"/>
    </row>
    <row r="45" spans="1:6" s="18" customFormat="1" ht="15">
      <c r="A45" s="409" t="s">
        <v>499</v>
      </c>
      <c r="B45" s="509"/>
      <c r="C45" s="122"/>
      <c r="D45" s="558">
        <f>SUM(D36:D44)</f>
        <v>1668523.9899999998</v>
      </c>
      <c r="E45" s="120"/>
      <c r="F45" s="22"/>
    </row>
    <row r="46" spans="1:10" s="18" customFormat="1" ht="30">
      <c r="A46" s="409" t="s">
        <v>500</v>
      </c>
      <c r="B46" s="509"/>
      <c r="C46" s="122"/>
      <c r="D46" s="517" t="e">
        <f>SUM(D30:D44)</f>
        <v>#REF!</v>
      </c>
      <c r="F46" s="22"/>
      <c r="I46" s="18">
        <v>22008562.28</v>
      </c>
      <c r="J46" s="114" t="e">
        <f>+D46-I46</f>
        <v>#REF!</v>
      </c>
    </row>
    <row r="47" spans="1:6" s="18" customFormat="1" ht="15">
      <c r="A47" s="418" t="s">
        <v>373</v>
      </c>
      <c r="B47" s="509"/>
      <c r="C47" s="122"/>
      <c r="D47" s="595" t="e">
        <f>D15-D46</f>
        <v>#REF!</v>
      </c>
      <c r="F47" s="22"/>
    </row>
    <row r="48" spans="1:6" s="18" customFormat="1" ht="14.25">
      <c r="A48" s="419" t="s">
        <v>44</v>
      </c>
      <c r="B48" s="509"/>
      <c r="C48" s="122">
        <f>-'[1]TB03-31-04(Final)'!G356-'[1]TB03-31-04(Final)'!G343-'[1]TB03-31-04(Final)'!F347+'(8)Earned Incurred YTD6'!B50</f>
        <v>44581.64</v>
      </c>
      <c r="D48" s="510"/>
      <c r="F48" s="22" t="s">
        <v>213</v>
      </c>
    </row>
    <row r="49" spans="1:6" s="18" customFormat="1" ht="14.25">
      <c r="A49" s="419" t="s">
        <v>218</v>
      </c>
      <c r="B49" s="509">
        <f>+'[1]TB03-31-04(Final)'!G25</f>
        <v>10038.47</v>
      </c>
      <c r="C49" s="122"/>
      <c r="D49" s="510"/>
      <c r="F49" s="22">
        <v>12150</v>
      </c>
    </row>
    <row r="50" spans="1:6" s="18" customFormat="1" ht="14.25">
      <c r="A50" s="419" t="s">
        <v>219</v>
      </c>
      <c r="B50" s="511">
        <v>17084</v>
      </c>
      <c r="C50" s="122" t="s">
        <v>108</v>
      </c>
      <c r="D50" s="510"/>
      <c r="F50" s="22"/>
    </row>
    <row r="51" spans="1:6" s="18" customFormat="1" ht="15">
      <c r="A51" s="419" t="s">
        <v>220</v>
      </c>
      <c r="B51" s="509"/>
      <c r="C51" s="512">
        <f>B49-B50</f>
        <v>-7045.530000000001</v>
      </c>
      <c r="D51" s="515"/>
      <c r="F51" s="22"/>
    </row>
    <row r="52" spans="1:9" s="18" customFormat="1" ht="15">
      <c r="A52" s="418" t="s">
        <v>45</v>
      </c>
      <c r="B52" s="509"/>
      <c r="C52" s="122"/>
      <c r="D52" s="518">
        <f>C48+C51</f>
        <v>37536.11</v>
      </c>
      <c r="E52" s="253">
        <f>+'[1]TB03-31-04(Final)'!G348</f>
        <v>-29950.73</v>
      </c>
      <c r="F52" s="22" t="s">
        <v>212</v>
      </c>
      <c r="I52" s="148"/>
    </row>
    <row r="53" spans="1:10" s="18" customFormat="1" ht="15">
      <c r="A53" s="420"/>
      <c r="B53" s="530"/>
      <c r="C53" s="357"/>
      <c r="D53" s="534"/>
      <c r="F53" s="22"/>
      <c r="J53" s="114"/>
    </row>
    <row r="54" spans="1:9" s="18" customFormat="1" ht="15">
      <c r="A54" s="421" t="s">
        <v>374</v>
      </c>
      <c r="B54" s="532"/>
      <c r="C54" s="533"/>
      <c r="D54" s="535" t="e">
        <f>D47+D52</f>
        <v>#REF!</v>
      </c>
      <c r="F54" s="22" t="s">
        <v>375</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70"/>
      <c r="B57" s="971"/>
      <c r="C57" s="971"/>
      <c r="D57" s="971"/>
      <c r="F57" s="22"/>
      <c r="J57" s="114"/>
    </row>
    <row r="58" spans="1:6" s="18" customFormat="1" ht="15">
      <c r="A58" s="144"/>
      <c r="B58" s="536"/>
      <c r="C58" s="537"/>
      <c r="D58" s="537"/>
      <c r="F58" s="22"/>
    </row>
    <row r="59" spans="1:6" s="18" customFormat="1" ht="15">
      <c r="A59" s="972" t="s">
        <v>426</v>
      </c>
      <c r="B59" s="972"/>
      <c r="C59" s="972"/>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98</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221</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393</v>
      </c>
      <c r="C7" s="444" t="s">
        <v>397</v>
      </c>
      <c r="D7" s="444" t="s">
        <v>493</v>
      </c>
      <c r="E7" s="444" t="s">
        <v>60</v>
      </c>
      <c r="F7" s="444" t="s">
        <v>448</v>
      </c>
      <c r="G7" s="445" t="s">
        <v>99</v>
      </c>
      <c r="H7" s="584"/>
    </row>
    <row r="8" spans="1:7" ht="15.75">
      <c r="A8" s="446" t="s">
        <v>222</v>
      </c>
      <c r="B8" s="447"/>
      <c r="C8" s="447"/>
      <c r="D8" s="447"/>
      <c r="E8" s="447"/>
      <c r="F8" s="447"/>
      <c r="G8" s="447"/>
    </row>
    <row r="9" spans="1:8" s="99" customFormat="1" ht="15">
      <c r="A9" s="447" t="s">
        <v>309</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236</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237</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226</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18</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309</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236</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237</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226</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50</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309</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236</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237</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226</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227</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248</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367</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249</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226</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80" t="s">
        <v>296</v>
      </c>
      <c r="B33" s="980"/>
      <c r="C33" s="980"/>
      <c r="D33" s="980"/>
      <c r="E33" s="980"/>
      <c r="F33" s="980"/>
      <c r="G33" s="980"/>
      <c r="H33" s="980"/>
    </row>
    <row r="34" spans="1:8" s="757" customFormat="1" ht="12.75">
      <c r="A34" s="980"/>
      <c r="B34" s="980"/>
      <c r="C34" s="980"/>
      <c r="D34" s="980"/>
      <c r="E34" s="980"/>
      <c r="F34" s="980"/>
      <c r="G34" s="980"/>
      <c r="H34" s="980"/>
    </row>
    <row r="35" spans="1:8" s="757" customFormat="1" ht="12.75">
      <c r="A35" s="980"/>
      <c r="B35" s="980"/>
      <c r="C35" s="980"/>
      <c r="D35" s="980"/>
      <c r="E35" s="980"/>
      <c r="F35" s="980"/>
      <c r="G35" s="980"/>
      <c r="H35" s="980"/>
    </row>
    <row r="36" spans="1:8" s="757" customFormat="1" ht="12.75">
      <c r="A36" s="756"/>
      <c r="B36" s="756"/>
      <c r="C36" s="756"/>
      <c r="D36" s="756"/>
      <c r="E36" s="756"/>
      <c r="F36" s="756"/>
      <c r="G36" s="756"/>
      <c r="H36" s="756"/>
    </row>
    <row r="37" spans="2:4" s="757" customFormat="1" ht="12" customHeight="1">
      <c r="B37" s="758"/>
      <c r="C37" s="981" t="s">
        <v>297</v>
      </c>
      <c r="D37" s="981" t="s">
        <v>298</v>
      </c>
    </row>
    <row r="38" spans="2:4" s="757" customFormat="1" ht="12" customHeight="1">
      <c r="B38" s="759" t="s">
        <v>164</v>
      </c>
      <c r="C38" s="981"/>
      <c r="D38" s="981"/>
    </row>
    <row r="39" spans="1:7" s="757" customFormat="1" ht="12" customHeight="1">
      <c r="A39" s="760" t="s">
        <v>299</v>
      </c>
      <c r="B39" s="763">
        <v>478783</v>
      </c>
      <c r="C39" s="763">
        <v>1343200</v>
      </c>
      <c r="D39" s="763">
        <f>B39+C39</f>
        <v>1821983</v>
      </c>
      <c r="E39" s="761"/>
      <c r="F39" s="761"/>
      <c r="G39" s="761"/>
    </row>
    <row r="40" spans="1:7" s="757" customFormat="1" ht="12" customHeight="1">
      <c r="A40" s="760" t="s">
        <v>386</v>
      </c>
      <c r="B40" s="764">
        <v>487924</v>
      </c>
      <c r="C40" s="764">
        <v>1418672</v>
      </c>
      <c r="D40" s="764">
        <f>B40+C40</f>
        <v>1906596</v>
      </c>
      <c r="E40" s="761"/>
      <c r="F40" s="761"/>
      <c r="G40" s="761"/>
    </row>
    <row r="41" spans="1:7" s="757" customFormat="1" ht="12" customHeight="1">
      <c r="A41" s="760" t="s">
        <v>52</v>
      </c>
      <c r="B41" s="764">
        <v>509815</v>
      </c>
      <c r="C41" s="764">
        <v>1518349</v>
      </c>
      <c r="D41" s="764">
        <f>B41+C41</f>
        <v>2028164</v>
      </c>
      <c r="E41" s="761"/>
      <c r="F41" s="761"/>
      <c r="G41" s="761"/>
    </row>
    <row r="42" spans="1:7" s="757" customFormat="1" ht="12" customHeight="1">
      <c r="A42" s="760" t="s">
        <v>356</v>
      </c>
      <c r="B42" s="764">
        <v>508338</v>
      </c>
      <c r="C42" s="764">
        <v>1585267</v>
      </c>
      <c r="D42" s="764">
        <f>B42+C42</f>
        <v>2093605</v>
      </c>
      <c r="E42" s="761"/>
      <c r="F42" s="761"/>
      <c r="G42" s="761"/>
    </row>
    <row r="43" spans="1:7" s="757" customFormat="1" ht="12" customHeight="1" thickBot="1">
      <c r="A43" s="760" t="s">
        <v>412</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80" t="s">
        <v>300</v>
      </c>
      <c r="B45" s="980"/>
      <c r="C45" s="980"/>
      <c r="D45" s="980"/>
      <c r="E45" s="980"/>
      <c r="F45" s="980"/>
      <c r="G45" s="980"/>
      <c r="H45" s="980"/>
    </row>
    <row r="46" spans="1:8" s="757" customFormat="1" ht="12.75">
      <c r="A46" s="980"/>
      <c r="B46" s="980"/>
      <c r="C46" s="980"/>
      <c r="D46" s="980"/>
      <c r="E46" s="980"/>
      <c r="F46" s="980"/>
      <c r="G46" s="980"/>
      <c r="H46" s="980"/>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4" t="s">
        <v>98</v>
      </c>
      <c r="B1" s="964"/>
      <c r="C1" s="964"/>
      <c r="D1" s="964"/>
      <c r="E1" s="964"/>
    </row>
    <row r="2" spans="1:3" s="20" customFormat="1" ht="15" customHeight="1">
      <c r="A2" s="956"/>
      <c r="B2" s="956"/>
      <c r="C2" s="956"/>
    </row>
    <row r="3" spans="1:5" s="21" customFormat="1" ht="15" customHeight="1">
      <c r="A3" s="982" t="s">
        <v>116</v>
      </c>
      <c r="B3" s="982"/>
      <c r="C3" s="982"/>
      <c r="D3" s="982"/>
      <c r="E3" s="982"/>
    </row>
    <row r="4" spans="1:5" s="21" customFormat="1" ht="15" customHeight="1">
      <c r="A4" s="983" t="s">
        <v>292</v>
      </c>
      <c r="B4" s="982"/>
      <c r="C4" s="982"/>
      <c r="D4" s="982"/>
      <c r="E4" s="982"/>
    </row>
    <row r="5" spans="1:3" s="21" customFormat="1" ht="15" customHeight="1">
      <c r="A5" s="378"/>
      <c r="B5" s="379"/>
      <c r="C5" s="379"/>
    </row>
    <row r="6" spans="1:5" ht="15" customHeight="1">
      <c r="A6" s="369"/>
      <c r="B6" s="886" t="s">
        <v>51</v>
      </c>
      <c r="C6" s="887"/>
      <c r="D6" s="886" t="s">
        <v>369</v>
      </c>
      <c r="E6" s="887"/>
    </row>
    <row r="7" spans="1:5" ht="15" customHeight="1">
      <c r="A7" s="369"/>
      <c r="B7" s="814"/>
      <c r="C7" s="815"/>
      <c r="D7" s="814"/>
      <c r="E7" s="815"/>
    </row>
    <row r="8" spans="1:5" ht="15" customHeight="1">
      <c r="A8" s="816" t="s">
        <v>118</v>
      </c>
      <c r="B8" s="814"/>
      <c r="C8" s="817"/>
      <c r="D8" s="814"/>
      <c r="E8" s="817"/>
    </row>
    <row r="9" spans="1:5" ht="15" customHeight="1">
      <c r="A9" s="816"/>
      <c r="B9" s="814"/>
      <c r="C9" s="817"/>
      <c r="D9" s="814"/>
      <c r="E9" s="817"/>
    </row>
    <row r="10" spans="1:5" ht="15" customHeight="1">
      <c r="A10" s="369" t="s">
        <v>119</v>
      </c>
      <c r="B10" s="380"/>
      <c r="C10" s="561">
        <f>'Earned Incurred QTD-5'!D16</f>
        <v>3909272</v>
      </c>
      <c r="D10" s="380"/>
      <c r="E10" s="561">
        <f>'Earned Incurred YTD-6'!D16</f>
        <v>12175092.85</v>
      </c>
    </row>
    <row r="11" spans="1:5" ht="15" customHeight="1">
      <c r="A11" s="816"/>
      <c r="B11" s="380"/>
      <c r="C11" s="818"/>
      <c r="D11" s="380"/>
      <c r="E11" s="818"/>
    </row>
    <row r="12" spans="1:5" ht="15" customHeight="1">
      <c r="A12" s="816" t="s">
        <v>120</v>
      </c>
      <c r="B12" s="380"/>
      <c r="C12" s="818"/>
      <c r="D12" s="380"/>
      <c r="E12" s="818"/>
    </row>
    <row r="13" spans="1:5" ht="15" customHeight="1">
      <c r="A13" s="369" t="s">
        <v>121</v>
      </c>
      <c r="B13" s="127">
        <f>'Earned Incurred QTD-5'!D23</f>
        <v>2083054</v>
      </c>
      <c r="C13" s="818"/>
      <c r="D13" s="127">
        <f>'Earned Incurred YTD-6'!D23</f>
        <v>6413447.34</v>
      </c>
      <c r="E13" s="818"/>
    </row>
    <row r="14" spans="1:5" ht="15" customHeight="1">
      <c r="A14" s="369" t="s">
        <v>122</v>
      </c>
      <c r="B14" s="127">
        <f>'Earned Incurred QTD-5'!D30</f>
        <v>388129</v>
      </c>
      <c r="C14" s="818"/>
      <c r="D14" s="127">
        <f>'Earned Incurred YTD-6'!D30</f>
        <v>1026612.8300000001</v>
      </c>
      <c r="E14" s="818"/>
    </row>
    <row r="15" spans="1:5" ht="15" customHeight="1">
      <c r="A15" s="369" t="s">
        <v>123</v>
      </c>
      <c r="B15" s="127">
        <f>'Earned Incurred QTD-5'!C37</f>
        <v>332875</v>
      </c>
      <c r="C15" s="818"/>
      <c r="D15" s="127">
        <f>'Earned Incurred YTD-6'!C37</f>
        <v>1002791</v>
      </c>
      <c r="E15" s="818"/>
    </row>
    <row r="16" spans="1:6" ht="15" customHeight="1">
      <c r="A16" s="369" t="s">
        <v>124</v>
      </c>
      <c r="B16" s="127">
        <f>'Earned Incurred QTD-5'!C38+'Earned Incurred QTD-5'!C39+'Earned Incurred QTD-5'!C43</f>
        <v>1059725</v>
      </c>
      <c r="C16" s="818"/>
      <c r="D16" s="127">
        <f>'Earned Incurred YTD-6'!C38+'Earned Incurred YTD-6'!C39+'Earned Incurred YTD-6'!C43</f>
        <v>3383240</v>
      </c>
      <c r="E16" s="818"/>
      <c r="F16" s="114"/>
    </row>
    <row r="17" spans="1:5" ht="15" customHeight="1">
      <c r="A17" s="369" t="s">
        <v>449</v>
      </c>
      <c r="B17" s="145">
        <f>'Earned Incurred QTD-5'!D36</f>
        <v>15211</v>
      </c>
      <c r="C17" s="818"/>
      <c r="D17" s="145">
        <f>'Earned Incurred YTD-6'!D36</f>
        <v>39091.18</v>
      </c>
      <c r="E17" s="818"/>
    </row>
    <row r="18" spans="1:5" ht="15" customHeight="1">
      <c r="A18" s="369" t="s">
        <v>325</v>
      </c>
      <c r="B18" s="380"/>
      <c r="C18" s="488">
        <f>SUM(B13:B17)</f>
        <v>3878994</v>
      </c>
      <c r="D18" s="380"/>
      <c r="E18" s="488">
        <f>SUM(D13:D17)</f>
        <v>11865182.35</v>
      </c>
    </row>
    <row r="19" spans="1:5" ht="15" customHeight="1">
      <c r="A19" s="369"/>
      <c r="B19" s="380"/>
      <c r="C19" s="489"/>
      <c r="D19" s="380"/>
      <c r="E19" s="489"/>
    </row>
    <row r="20" spans="1:5" ht="15" customHeight="1">
      <c r="A20" s="369" t="s">
        <v>334</v>
      </c>
      <c r="B20" s="380"/>
      <c r="C20" s="919">
        <f>C10-C18</f>
        <v>30278</v>
      </c>
      <c r="D20" s="380"/>
      <c r="E20" s="489">
        <f>E10-E18</f>
        <v>309910.5</v>
      </c>
    </row>
    <row r="21" spans="1:5" ht="15" customHeight="1">
      <c r="A21" s="816"/>
      <c r="B21" s="380"/>
      <c r="C21" s="489"/>
      <c r="D21" s="380"/>
      <c r="E21" s="489"/>
    </row>
    <row r="22" spans="1:5" ht="15" customHeight="1">
      <c r="A22" s="816" t="s">
        <v>126</v>
      </c>
      <c r="B22" s="380"/>
      <c r="C22" s="489"/>
      <c r="D22" s="380"/>
      <c r="E22" s="489"/>
    </row>
    <row r="23" spans="1:5" ht="15" customHeight="1">
      <c r="A23" s="369" t="s">
        <v>395</v>
      </c>
      <c r="B23" s="380"/>
      <c r="C23" s="488">
        <f>'Earned Incurred QTD-5'!D52</f>
        <v>110910</v>
      </c>
      <c r="D23" s="380"/>
      <c r="E23" s="488">
        <f>'Earned Incurred YTD-6'!D52</f>
        <v>384010</v>
      </c>
    </row>
    <row r="24" spans="1:5" ht="15" customHeight="1">
      <c r="A24" s="369"/>
      <c r="B24" s="380"/>
      <c r="C24" s="489"/>
      <c r="D24" s="380"/>
      <c r="E24" s="489"/>
    </row>
    <row r="25" spans="1:5" ht="15" customHeight="1" thickBot="1">
      <c r="A25" s="369" t="s">
        <v>335</v>
      </c>
      <c r="B25" s="380"/>
      <c r="C25" s="920">
        <f>C20+C23</f>
        <v>141188</v>
      </c>
      <c r="D25" s="380"/>
      <c r="E25" s="490">
        <f>E20+E23</f>
        <v>693920.5</v>
      </c>
    </row>
    <row r="26" spans="1:5" ht="15" customHeight="1">
      <c r="A26" s="816"/>
      <c r="B26" s="380"/>
      <c r="C26" s="641"/>
      <c r="D26" s="380"/>
      <c r="E26" s="641"/>
    </row>
    <row r="27" spans="1:5" ht="15" customHeight="1">
      <c r="A27" s="816" t="s">
        <v>114</v>
      </c>
      <c r="B27" s="380"/>
      <c r="C27" s="489"/>
      <c r="D27" s="380"/>
      <c r="E27" s="489"/>
    </row>
    <row r="28" spans="1:5" ht="15" customHeight="1">
      <c r="A28" s="369" t="s">
        <v>394</v>
      </c>
      <c r="B28" s="380"/>
      <c r="C28" s="919">
        <v>-700466.0500000021</v>
      </c>
      <c r="D28" s="380"/>
      <c r="E28" s="919">
        <v>-137490</v>
      </c>
    </row>
    <row r="29" spans="1:5" ht="15" customHeight="1">
      <c r="A29" s="369" t="s">
        <v>328</v>
      </c>
      <c r="B29" s="921">
        <f>C25</f>
        <v>141188</v>
      </c>
      <c r="C29" s="489"/>
      <c r="D29" s="127">
        <f>E25</f>
        <v>693920.5</v>
      </c>
      <c r="E29" s="489"/>
    </row>
    <row r="30" spans="1:6" ht="15" customHeight="1">
      <c r="A30" s="18" t="s">
        <v>347</v>
      </c>
      <c r="B30" s="938">
        <v>0</v>
      </c>
      <c r="D30" s="936">
        <v>-1243616</v>
      </c>
      <c r="E30" s="489"/>
      <c r="F30" s="114"/>
    </row>
    <row r="31" spans="1:6" ht="15" customHeight="1">
      <c r="A31" s="369" t="s">
        <v>129</v>
      </c>
      <c r="B31" s="145">
        <f>-'[11]3Q08 Trial Balance'!C211+1</f>
        <v>63983</v>
      </c>
      <c r="C31" s="489"/>
      <c r="D31" s="922">
        <f>191891.27-1</f>
        <v>191890.27</v>
      </c>
      <c r="E31" s="489"/>
      <c r="F31" s="114"/>
    </row>
    <row r="32" spans="3:7" ht="14.25">
      <c r="C32" s="489"/>
      <c r="D32" s="127"/>
      <c r="E32" s="489"/>
      <c r="F32" s="127"/>
      <c r="G32" s="127"/>
    </row>
    <row r="33" spans="1:7" ht="15" customHeight="1">
      <c r="A33" s="369" t="s">
        <v>130</v>
      </c>
      <c r="C33" s="919">
        <f>SUM(B29:B33)</f>
        <v>205171</v>
      </c>
      <c r="D33" s="127"/>
      <c r="E33" s="919">
        <f>SUM(D29:D33)</f>
        <v>-357805.23</v>
      </c>
      <c r="G33" s="114"/>
    </row>
    <row r="34" spans="1:5" ht="15" customHeight="1">
      <c r="A34" s="369"/>
      <c r="C34" s="819"/>
      <c r="D34" s="127"/>
      <c r="E34" s="819"/>
    </row>
    <row r="35" spans="1:5" ht="15" customHeight="1" thickBot="1">
      <c r="A35" s="820" t="s">
        <v>293</v>
      </c>
      <c r="B35" s="380"/>
      <c r="C35" s="923">
        <f>C28+C33</f>
        <v>-495295.05000000214</v>
      </c>
      <c r="D35" s="380"/>
      <c r="E35" s="923">
        <f>E28+E33</f>
        <v>-495295.23</v>
      </c>
    </row>
    <row r="36" spans="2:5" s="14" customFormat="1" ht="15" customHeight="1" thickTop="1">
      <c r="B36" s="256"/>
      <c r="C36" s="127"/>
      <c r="D36" s="369"/>
      <c r="E36" s="127"/>
    </row>
    <row r="37" spans="3:5" ht="15" customHeight="1">
      <c r="C37" s="347"/>
      <c r="E37" s="347"/>
    </row>
    <row r="40"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9"/>
  <sheetViews>
    <sheetView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4" t="s">
        <v>98</v>
      </c>
      <c r="B1" s="984"/>
      <c r="C1" s="984"/>
      <c r="D1" s="984"/>
      <c r="E1" s="984"/>
      <c r="F1" s="984"/>
      <c r="G1" s="984"/>
    </row>
    <row r="2" spans="1:7" s="27" customFormat="1" ht="15" customHeight="1">
      <c r="A2" s="985"/>
      <c r="B2" s="985"/>
      <c r="C2" s="985"/>
      <c r="D2" s="985"/>
      <c r="E2" s="985"/>
      <c r="F2" s="985"/>
      <c r="G2" s="985"/>
    </row>
    <row r="3" spans="1:7" s="773" customFormat="1" ht="15" customHeight="1">
      <c r="A3" s="986" t="s">
        <v>131</v>
      </c>
      <c r="B3" s="986"/>
      <c r="C3" s="986"/>
      <c r="D3" s="986"/>
      <c r="E3" s="986"/>
      <c r="F3" s="986"/>
      <c r="G3" s="986"/>
    </row>
    <row r="4" spans="1:7" s="773" customFormat="1" ht="15" customHeight="1">
      <c r="A4" s="986" t="s">
        <v>279</v>
      </c>
      <c r="B4" s="986"/>
      <c r="C4" s="986"/>
      <c r="D4" s="986"/>
      <c r="E4" s="986"/>
      <c r="F4" s="986"/>
      <c r="G4" s="986"/>
    </row>
    <row r="5" spans="1:7" s="29" customFormat="1" ht="15" customHeight="1">
      <c r="A5" s="381"/>
      <c r="B5" s="797"/>
      <c r="C5" s="797"/>
      <c r="D5" s="798"/>
      <c r="E5" s="799"/>
      <c r="F5" s="799"/>
      <c r="G5" s="800"/>
    </row>
    <row r="6" spans="1:7" s="776" customFormat="1" ht="30" customHeight="1">
      <c r="A6" s="821"/>
      <c r="B6" s="904" t="s">
        <v>337</v>
      </c>
      <c r="C6" s="904" t="s">
        <v>331</v>
      </c>
      <c r="D6" s="904" t="s">
        <v>351</v>
      </c>
      <c r="E6" s="904" t="s">
        <v>330</v>
      </c>
      <c r="F6" s="905" t="s">
        <v>338</v>
      </c>
      <c r="G6" s="885" t="s">
        <v>99</v>
      </c>
    </row>
    <row r="7" spans="1:7" s="777" customFormat="1" ht="15" customHeight="1">
      <c r="A7" s="822" t="s">
        <v>133</v>
      </c>
      <c r="B7" s="823"/>
      <c r="C7" s="823"/>
      <c r="D7" s="824"/>
      <c r="E7" s="824"/>
      <c r="F7" s="824"/>
      <c r="G7" s="824"/>
    </row>
    <row r="8" spans="1:7" s="775" customFormat="1" ht="15" customHeight="1">
      <c r="A8" s="825" t="s">
        <v>134</v>
      </c>
      <c r="B8" s="925">
        <f>'Premiums QTD-7'!B12</f>
        <v>3752240</v>
      </c>
      <c r="C8" s="925">
        <f>'Premiums QTD-7'!C12</f>
        <v>-27723</v>
      </c>
      <c r="D8" s="925">
        <f>'Premiums QTD-7'!D12</f>
        <v>-574</v>
      </c>
      <c r="E8" s="827">
        <f>'Premiums QTD-7'!E12</f>
        <v>0</v>
      </c>
      <c r="F8" s="827">
        <f>'Premiums QTD-7'!F12</f>
        <v>0</v>
      </c>
      <c r="G8" s="826">
        <f>SUM(B8:F8)</f>
        <v>3723943</v>
      </c>
    </row>
    <row r="9" spans="1:7" s="775" customFormat="1" ht="15" customHeight="1">
      <c r="A9" s="825" t="s">
        <v>135</v>
      </c>
      <c r="B9" s="827">
        <f>'Earned Incurred QTD-5'!C48</f>
        <v>38228</v>
      </c>
      <c r="C9" s="827">
        <v>0</v>
      </c>
      <c r="D9" s="827">
        <v>0</v>
      </c>
      <c r="E9" s="827">
        <v>0</v>
      </c>
      <c r="F9" s="827">
        <v>0</v>
      </c>
      <c r="G9" s="827">
        <f>SUM(B9:F9)</f>
        <v>38228</v>
      </c>
    </row>
    <row r="10" spans="1:7" s="775" customFormat="1" ht="15" customHeight="1" thickBot="1">
      <c r="A10" s="828" t="s">
        <v>136</v>
      </c>
      <c r="B10" s="926">
        <f aca="true" t="shared" si="0" ref="B10:G10">SUM(B8:B9)</f>
        <v>3790468</v>
      </c>
      <c r="C10" s="926">
        <f t="shared" si="0"/>
        <v>-27723</v>
      </c>
      <c r="D10" s="926">
        <f t="shared" si="0"/>
        <v>-574</v>
      </c>
      <c r="E10" s="829">
        <f t="shared" si="0"/>
        <v>0</v>
      </c>
      <c r="F10" s="829">
        <f t="shared" si="0"/>
        <v>0</v>
      </c>
      <c r="G10" s="830">
        <f t="shared" si="0"/>
        <v>3762171</v>
      </c>
    </row>
    <row r="11" spans="1:7" s="775" customFormat="1" ht="15" customHeight="1" thickTop="1">
      <c r="A11" s="828"/>
      <c r="B11" s="831"/>
      <c r="C11" s="831"/>
      <c r="D11" s="831"/>
      <c r="E11" s="827"/>
      <c r="F11" s="827"/>
      <c r="G11" s="827"/>
    </row>
    <row r="12" spans="1:7" s="775" customFormat="1" ht="15" customHeight="1">
      <c r="A12" s="822" t="s">
        <v>137</v>
      </c>
      <c r="B12" s="824"/>
      <c r="C12" s="824"/>
      <c r="D12" s="824"/>
      <c r="E12" s="832"/>
      <c r="F12" s="832"/>
      <c r="G12" s="827"/>
    </row>
    <row r="13" spans="1:7" s="775" customFormat="1" ht="15" customHeight="1">
      <c r="A13" s="828" t="s">
        <v>138</v>
      </c>
      <c r="B13" s="927">
        <f>'Losses Incurred QTD-9'!B12</f>
        <v>726016</v>
      </c>
      <c r="C13" s="927">
        <f>'Losses Incurred QTD-9'!C12</f>
        <v>1305925</v>
      </c>
      <c r="D13" s="927">
        <f>'Losses Incurred QTD-9'!D12</f>
        <v>-35728</v>
      </c>
      <c r="E13" s="927">
        <f>'Losses Incurred QTD-9'!E12</f>
        <v>-5889</v>
      </c>
      <c r="F13" s="927">
        <f>'Losses Incurred QTD-9'!F12</f>
        <v>27268</v>
      </c>
      <c r="G13" s="827">
        <f>SUM(B13:F13)</f>
        <v>2017592</v>
      </c>
    </row>
    <row r="14" spans="1:7" s="775" customFormat="1" ht="15" customHeight="1">
      <c r="A14" s="828" t="s">
        <v>139</v>
      </c>
      <c r="B14" s="927">
        <f>'[12]Loss Expenses Paid QTD-15'!C36</f>
        <v>52183</v>
      </c>
      <c r="C14" s="927">
        <f>'[12]Loss Expenses Paid QTD-15'!C30</f>
        <v>108976</v>
      </c>
      <c r="D14" s="927">
        <f>'[12]Loss Expenses Paid QTD-15'!C24</f>
        <v>24064</v>
      </c>
      <c r="E14" s="927">
        <f>'[12]Loss Expenses Paid QTD-15'!C18</f>
        <v>9799</v>
      </c>
      <c r="F14" s="927">
        <f>'[12]Loss Expenses Paid QTD-15'!C12</f>
        <v>4116</v>
      </c>
      <c r="G14" s="827">
        <f aca="true" t="shared" si="1" ref="G14:G20">SUM(B14:F14)</f>
        <v>199138</v>
      </c>
    </row>
    <row r="15" spans="1:8" s="775" customFormat="1" ht="15" customHeight="1">
      <c r="A15" s="828" t="s">
        <v>140</v>
      </c>
      <c r="B15" s="927">
        <f>'[12]Loss Expenses Paid QTD-15'!I36</f>
        <v>48643</v>
      </c>
      <c r="C15" s="927">
        <f>'[12]Loss Expenses Paid QTD-15'!I30</f>
        <v>87496</v>
      </c>
      <c r="D15" s="927">
        <f>'[12]Loss Expenses Paid QTD-15'!I24</f>
        <v>12744</v>
      </c>
      <c r="E15" s="927">
        <f>'[12]Loss Expenses Paid QTD-15'!I18</f>
        <v>-84</v>
      </c>
      <c r="F15" s="927">
        <f>'[12]Loss Expenses Paid QTD-15'!I12</f>
        <v>1943</v>
      </c>
      <c r="G15" s="827">
        <f>SUM(B15:F15)</f>
        <v>150742</v>
      </c>
      <c r="H15" s="779"/>
    </row>
    <row r="16" spans="1:7" s="775" customFormat="1" ht="15" customHeight="1">
      <c r="A16" s="828" t="s">
        <v>141</v>
      </c>
      <c r="B16" s="827">
        <f>'[11]3Q08 Trial Balance'!D430</f>
        <v>8641</v>
      </c>
      <c r="C16" s="827">
        <v>0</v>
      </c>
      <c r="D16" s="827">
        <v>0</v>
      </c>
      <c r="E16" s="827">
        <v>0</v>
      </c>
      <c r="F16" s="827">
        <v>0</v>
      </c>
      <c r="G16" s="827">
        <f t="shared" si="1"/>
        <v>8641</v>
      </c>
    </row>
    <row r="17" spans="1:8" s="775" customFormat="1" ht="15" customHeight="1">
      <c r="A17" s="833" t="s">
        <v>142</v>
      </c>
      <c r="B17" s="827">
        <f>'[11]3Q08 Trial Balance'!D436</f>
        <v>28760</v>
      </c>
      <c r="C17" s="827">
        <v>0</v>
      </c>
      <c r="D17" s="827">
        <v>0</v>
      </c>
      <c r="E17" s="827">
        <v>0</v>
      </c>
      <c r="F17" s="827">
        <v>0</v>
      </c>
      <c r="G17" s="827">
        <f t="shared" si="1"/>
        <v>28760</v>
      </c>
      <c r="H17" s="779"/>
    </row>
    <row r="18" spans="1:8" s="775" customFormat="1" ht="15" customHeight="1">
      <c r="A18" s="828" t="s">
        <v>144</v>
      </c>
      <c r="B18" s="827">
        <f>'[11]3Q08 Trial Balance'!D432</f>
        <v>3300</v>
      </c>
      <c r="C18" s="827">
        <v>0</v>
      </c>
      <c r="D18" s="827">
        <v>0</v>
      </c>
      <c r="E18" s="827">
        <v>0</v>
      </c>
      <c r="F18" s="827">
        <v>0</v>
      </c>
      <c r="G18" s="827">
        <f t="shared" si="1"/>
        <v>3300</v>
      </c>
      <c r="H18" s="779"/>
    </row>
    <row r="19" spans="1:7" s="775" customFormat="1" ht="15" customHeight="1">
      <c r="A19" s="833" t="s">
        <v>143</v>
      </c>
      <c r="B19" s="827">
        <f>'[11]3Q08 Trial Balance'!D425</f>
        <v>335236</v>
      </c>
      <c r="C19" s="927">
        <f>'[11]3Q08 Trial Balance'!D421</f>
        <v>-2304</v>
      </c>
      <c r="D19" s="927">
        <f>'[11]3Q08 Trial Balance'!D417</f>
        <v>-57</v>
      </c>
      <c r="E19" s="827">
        <v>0</v>
      </c>
      <c r="F19" s="827">
        <v>0</v>
      </c>
      <c r="G19" s="827">
        <f t="shared" si="1"/>
        <v>332875</v>
      </c>
    </row>
    <row r="20" spans="1:8" s="775" customFormat="1" ht="15" customHeight="1">
      <c r="A20" s="828" t="s">
        <v>145</v>
      </c>
      <c r="B20" s="827">
        <f>'Earned Incurred QTD-5'!C39</f>
        <v>952802</v>
      </c>
      <c r="C20" s="827">
        <v>0</v>
      </c>
      <c r="D20" s="827">
        <v>0</v>
      </c>
      <c r="E20" s="827">
        <v>0</v>
      </c>
      <c r="F20" s="827">
        <v>0</v>
      </c>
      <c r="G20" s="827">
        <f t="shared" si="1"/>
        <v>952802</v>
      </c>
      <c r="H20" s="779"/>
    </row>
    <row r="21" spans="1:8" s="775" customFormat="1" ht="15" customHeight="1">
      <c r="A21" s="828" t="s">
        <v>447</v>
      </c>
      <c r="B21" s="827">
        <v>0</v>
      </c>
      <c r="C21" s="827">
        <v>0</v>
      </c>
      <c r="D21" s="827">
        <v>0</v>
      </c>
      <c r="E21" s="827">
        <v>0</v>
      </c>
      <c r="F21" s="827">
        <v>0</v>
      </c>
      <c r="G21" s="827">
        <f>SUM(B21:F21)</f>
        <v>0</v>
      </c>
      <c r="H21" s="779"/>
    </row>
    <row r="22" spans="1:8" s="775" customFormat="1" ht="15" customHeight="1" thickBot="1">
      <c r="A22" s="828" t="s">
        <v>136</v>
      </c>
      <c r="B22" s="926">
        <f aca="true" t="shared" si="2" ref="B22:G22">SUM(B13:B21)</f>
        <v>2155581</v>
      </c>
      <c r="C22" s="926">
        <f t="shared" si="2"/>
        <v>1500093</v>
      </c>
      <c r="D22" s="926">
        <f t="shared" si="2"/>
        <v>1023</v>
      </c>
      <c r="E22" s="926">
        <f t="shared" si="2"/>
        <v>3826</v>
      </c>
      <c r="F22" s="926">
        <f t="shared" si="2"/>
        <v>33327</v>
      </c>
      <c r="G22" s="830">
        <f t="shared" si="2"/>
        <v>3693850</v>
      </c>
      <c r="H22" s="778"/>
    </row>
    <row r="23" spans="1:7" s="775" customFormat="1" ht="15" customHeight="1" thickTop="1">
      <c r="A23" s="828"/>
      <c r="B23" s="831"/>
      <c r="C23" s="831"/>
      <c r="D23" s="831"/>
      <c r="E23" s="827"/>
      <c r="F23" s="827"/>
      <c r="G23" s="827"/>
    </row>
    <row r="24" spans="1:7" s="775" customFormat="1" ht="15" customHeight="1" thickBot="1">
      <c r="A24" s="834" t="s">
        <v>146</v>
      </c>
      <c r="B24" s="928">
        <f>B10-B22</f>
        <v>1634887</v>
      </c>
      <c r="C24" s="928">
        <f>C10-C22</f>
        <v>-1527816</v>
      </c>
      <c r="D24" s="928">
        <f>D10-D22</f>
        <v>-1597</v>
      </c>
      <c r="E24" s="928">
        <f>E10-E22</f>
        <v>-3826</v>
      </c>
      <c r="F24" s="928">
        <f>F10-F22</f>
        <v>-33327</v>
      </c>
      <c r="G24" s="930">
        <f>SUM(B24:F24)</f>
        <v>68321</v>
      </c>
    </row>
    <row r="25" spans="1:7" s="775" customFormat="1" ht="15" customHeight="1" thickTop="1">
      <c r="A25" s="828"/>
      <c r="B25" s="831"/>
      <c r="C25" s="831"/>
      <c r="D25" s="831"/>
      <c r="E25" s="827"/>
      <c r="F25" s="827"/>
      <c r="G25" s="827"/>
    </row>
    <row r="26" spans="1:7" s="775" customFormat="1" ht="15" customHeight="1">
      <c r="A26" s="822" t="s">
        <v>147</v>
      </c>
      <c r="B26" s="824"/>
      <c r="C26" s="824"/>
      <c r="D26" s="824"/>
      <c r="E26" s="832"/>
      <c r="F26" s="832"/>
      <c r="G26" s="827"/>
    </row>
    <row r="27" spans="1:7" s="775" customFormat="1" ht="15" customHeight="1">
      <c r="A27" s="828" t="s">
        <v>148</v>
      </c>
      <c r="B27" s="827">
        <f>'Earned Incurred QTD-5'!B50</f>
        <v>41158</v>
      </c>
      <c r="C27" s="827">
        <v>0</v>
      </c>
      <c r="D27" s="827">
        <v>0</v>
      </c>
      <c r="E27" s="827">
        <v>0</v>
      </c>
      <c r="F27" s="827">
        <v>0</v>
      </c>
      <c r="G27" s="827">
        <f>SUM(B27:F27)</f>
        <v>41158</v>
      </c>
    </row>
    <row r="28" spans="1:8" s="775" customFormat="1" ht="15" customHeight="1">
      <c r="A28" s="828" t="s">
        <v>149</v>
      </c>
      <c r="B28" s="827">
        <f>'Equity YTD-4'!$B$28</f>
        <v>778840.57</v>
      </c>
      <c r="C28" s="827">
        <v>0</v>
      </c>
      <c r="D28" s="827">
        <v>0</v>
      </c>
      <c r="E28" s="827">
        <v>0</v>
      </c>
      <c r="F28" s="827">
        <v>0</v>
      </c>
      <c r="G28" s="827">
        <f>SUM(B28:F28)</f>
        <v>778840.57</v>
      </c>
      <c r="H28" s="779"/>
    </row>
    <row r="29" spans="1:9" s="775" customFormat="1" ht="15" customHeight="1">
      <c r="A29" s="933" t="s">
        <v>348</v>
      </c>
      <c r="B29" s="827">
        <v>0</v>
      </c>
      <c r="C29" s="827">
        <v>0</v>
      </c>
      <c r="D29" s="827">
        <v>0</v>
      </c>
      <c r="E29" s="827">
        <v>0</v>
      </c>
      <c r="F29" s="827">
        <v>0</v>
      </c>
      <c r="G29" s="827">
        <f>SUM(B29:F29)</f>
        <v>0</v>
      </c>
      <c r="H29" s="779"/>
      <c r="I29" s="934"/>
    </row>
    <row r="30" spans="1:8" s="775" customFormat="1" ht="15" customHeight="1" thickBot="1">
      <c r="A30" s="828" t="s">
        <v>136</v>
      </c>
      <c r="B30" s="829">
        <f aca="true" t="shared" si="3" ref="B30:G30">SUM(B27:B29)</f>
        <v>819998.57</v>
      </c>
      <c r="C30" s="829">
        <f t="shared" si="3"/>
        <v>0</v>
      </c>
      <c r="D30" s="829">
        <f t="shared" si="3"/>
        <v>0</v>
      </c>
      <c r="E30" s="829">
        <f t="shared" si="3"/>
        <v>0</v>
      </c>
      <c r="F30" s="829">
        <f t="shared" si="3"/>
        <v>0</v>
      </c>
      <c r="G30" s="830">
        <f t="shared" si="3"/>
        <v>819998.57</v>
      </c>
      <c r="H30" s="779"/>
    </row>
    <row r="31" spans="1:7" s="775" customFormat="1" ht="15" customHeight="1" thickTop="1">
      <c r="A31" s="828"/>
      <c r="B31" s="831"/>
      <c r="C31" s="831"/>
      <c r="D31" s="831"/>
      <c r="E31" s="827"/>
      <c r="F31" s="827"/>
      <c r="G31" s="827"/>
    </row>
    <row r="32" spans="1:7" s="775" customFormat="1" ht="15" customHeight="1">
      <c r="A32" s="822" t="s">
        <v>150</v>
      </c>
      <c r="B32" s="824"/>
      <c r="C32" s="824"/>
      <c r="D32" s="824"/>
      <c r="E32" s="832"/>
      <c r="F32" s="832"/>
      <c r="G32" s="827"/>
    </row>
    <row r="33" spans="1:7" s="775" customFormat="1" ht="15" customHeight="1">
      <c r="A33" s="828" t="s">
        <v>151</v>
      </c>
      <c r="B33" s="827">
        <f>'Earned Incurred QTD-5'!B49</f>
        <v>113840</v>
      </c>
      <c r="C33" s="827">
        <v>0</v>
      </c>
      <c r="D33" s="827">
        <v>0</v>
      </c>
      <c r="E33" s="827">
        <v>0</v>
      </c>
      <c r="F33" s="827">
        <v>0</v>
      </c>
      <c r="G33" s="827">
        <f>SUM(B33:F33)</f>
        <v>113840</v>
      </c>
    </row>
    <row r="34" spans="1:9" s="775" customFormat="1" ht="15" customHeight="1">
      <c r="A34" s="828" t="s">
        <v>152</v>
      </c>
      <c r="B34" s="827">
        <v>842823.76</v>
      </c>
      <c r="C34" s="827">
        <v>0</v>
      </c>
      <c r="D34" s="827">
        <v>0</v>
      </c>
      <c r="E34" s="827">
        <v>0</v>
      </c>
      <c r="F34" s="827">
        <v>0</v>
      </c>
      <c r="G34" s="827">
        <f>SUM(B34:F34)</f>
        <v>842823.76</v>
      </c>
      <c r="H34" s="779"/>
      <c r="I34" s="779"/>
    </row>
    <row r="35" spans="1:8" s="775" customFormat="1" ht="15" customHeight="1" thickBot="1">
      <c r="A35" s="828" t="s">
        <v>136</v>
      </c>
      <c r="B35" s="829">
        <f aca="true" t="shared" si="4" ref="B35:G35">SUM(B33:B34)</f>
        <v>956663.76</v>
      </c>
      <c r="C35" s="829">
        <f t="shared" si="4"/>
        <v>0</v>
      </c>
      <c r="D35" s="829">
        <f t="shared" si="4"/>
        <v>0</v>
      </c>
      <c r="E35" s="829">
        <f t="shared" si="4"/>
        <v>0</v>
      </c>
      <c r="F35" s="829">
        <f t="shared" si="4"/>
        <v>0</v>
      </c>
      <c r="G35" s="830">
        <f t="shared" si="4"/>
        <v>956663.76</v>
      </c>
      <c r="H35" s="779"/>
    </row>
    <row r="36" spans="1:7" s="775" customFormat="1" ht="15" customHeight="1" thickTop="1">
      <c r="A36" s="828"/>
      <c r="B36" s="831"/>
      <c r="C36" s="831"/>
      <c r="D36" s="831"/>
      <c r="E36" s="827"/>
      <c r="F36" s="827"/>
      <c r="G36" s="835"/>
    </row>
    <row r="37" spans="1:7" s="775" customFormat="1" ht="15" customHeight="1" thickBot="1">
      <c r="A37" s="822" t="s">
        <v>153</v>
      </c>
      <c r="B37" s="928">
        <f>B24-B30+B35</f>
        <v>1771552.19</v>
      </c>
      <c r="C37" s="928">
        <f>C24-C30+C35</f>
        <v>-1527816</v>
      </c>
      <c r="D37" s="928">
        <f>D24-D30+D35</f>
        <v>-1597</v>
      </c>
      <c r="E37" s="928">
        <f>E24-E30+E35</f>
        <v>-3826</v>
      </c>
      <c r="F37" s="928">
        <f>F24-F30+F35</f>
        <v>-33327</v>
      </c>
      <c r="G37" s="930">
        <f>SUM(B37:F37)</f>
        <v>204986.18999999994</v>
      </c>
    </row>
    <row r="38" spans="1:7" s="775" customFormat="1" ht="15" customHeight="1" thickTop="1">
      <c r="A38" s="828"/>
      <c r="B38" s="831"/>
      <c r="C38" s="831"/>
      <c r="D38" s="831"/>
      <c r="E38" s="827"/>
      <c r="F38" s="827"/>
      <c r="G38" s="827"/>
    </row>
    <row r="39" spans="1:7" s="775" customFormat="1" ht="15" customHeight="1">
      <c r="A39" s="836" t="s">
        <v>451</v>
      </c>
      <c r="B39" s="837"/>
      <c r="C39" s="837"/>
      <c r="D39" s="837"/>
      <c r="E39" s="827"/>
      <c r="F39" s="827"/>
      <c r="G39" s="827"/>
    </row>
    <row r="40" spans="1:7" s="775" customFormat="1" ht="15" customHeight="1">
      <c r="A40" s="828" t="s">
        <v>111</v>
      </c>
      <c r="B40" s="827">
        <f>'Premiums QTD-7'!B18</f>
        <v>7050684</v>
      </c>
      <c r="C40" s="827">
        <f>'Premiums QTD-7'!C18</f>
        <v>476694</v>
      </c>
      <c r="D40" s="827">
        <f>'Premiums QTD-7'!D18</f>
        <v>0</v>
      </c>
      <c r="E40" s="827">
        <f>'Premiums QTD-7'!E18</f>
        <v>0</v>
      </c>
      <c r="F40" s="827">
        <f>'Premiums QTD-7'!F18</f>
        <v>0</v>
      </c>
      <c r="G40" s="827">
        <f>SUM(B40:F40)</f>
        <v>7527378</v>
      </c>
    </row>
    <row r="41" spans="1:7" s="775" customFormat="1" ht="15" customHeight="1">
      <c r="A41" s="828" t="s">
        <v>154</v>
      </c>
      <c r="B41" s="827">
        <f>'Losses Incurred QTD-9'!B18+'Losses Incurred QTD-9'!B24</f>
        <v>1635956</v>
      </c>
      <c r="C41" s="827">
        <f>'Losses Incurred QTD-9'!C18+'Losses Incurred QTD-9'!C24</f>
        <v>1601558</v>
      </c>
      <c r="D41" s="827">
        <f>'Losses Incurred QTD-9'!D18+'Losses Incurred QTD-9'!D24</f>
        <v>114747</v>
      </c>
      <c r="E41" s="827">
        <f>'Losses Incurred QTD-9'!E18+'Losses Incurred QTD-9'!E24</f>
        <v>56306</v>
      </c>
      <c r="F41" s="827">
        <f>'Losses Incurred QTD-9'!F18+'Losses Incurred QTD-9'!F24</f>
        <v>69981</v>
      </c>
      <c r="G41" s="827">
        <f>SUM(B41:F41)</f>
        <v>3478548</v>
      </c>
    </row>
    <row r="42" spans="1:7" s="775" customFormat="1" ht="15" customHeight="1">
      <c r="A42" s="828" t="s">
        <v>155</v>
      </c>
      <c r="B42" s="827">
        <f>'Loss Expenses QTD-11'!B18</f>
        <v>162710</v>
      </c>
      <c r="C42" s="827">
        <f>'Loss Expenses QTD-11'!C18</f>
        <v>190070</v>
      </c>
      <c r="D42" s="827">
        <f>'Loss Expenses QTD-11'!D18</f>
        <v>41490</v>
      </c>
      <c r="E42" s="827">
        <f>'Loss Expenses QTD-11'!E18</f>
        <v>12126</v>
      </c>
      <c r="F42" s="827">
        <f>'Loss Expenses QTD-11'!F18</f>
        <v>6596</v>
      </c>
      <c r="G42" s="827">
        <f>SUM(B42:F42)</f>
        <v>412992</v>
      </c>
    </row>
    <row r="43" spans="1:7" s="775" customFormat="1" ht="15" customHeight="1">
      <c r="A43" s="828" t="s">
        <v>156</v>
      </c>
      <c r="B43" s="827">
        <f>'Earned Incurred QTD-5'!B41</f>
        <v>210561</v>
      </c>
      <c r="C43" s="827">
        <v>0</v>
      </c>
      <c r="D43" s="827">
        <v>0</v>
      </c>
      <c r="E43" s="827">
        <v>0</v>
      </c>
      <c r="F43" s="827">
        <v>0</v>
      </c>
      <c r="G43" s="827">
        <f>SUM(B43:F43)</f>
        <v>210561</v>
      </c>
    </row>
    <row r="44" spans="1:7" s="775" customFormat="1" ht="15" customHeight="1">
      <c r="A44" s="828" t="s">
        <v>157</v>
      </c>
      <c r="B44" s="827">
        <f>'Earned Incurred QTD-5'!B33</f>
        <v>25740</v>
      </c>
      <c r="C44" s="827">
        <v>0</v>
      </c>
      <c r="D44" s="827">
        <v>0</v>
      </c>
      <c r="E44" s="827">
        <v>0</v>
      </c>
      <c r="F44" s="827">
        <v>0</v>
      </c>
      <c r="G44" s="827">
        <f>SUM(B44:F44)</f>
        <v>25740</v>
      </c>
    </row>
    <row r="45" spans="1:7" s="775" customFormat="1" ht="15" customHeight="1" thickBot="1">
      <c r="A45" s="838" t="s">
        <v>136</v>
      </c>
      <c r="B45" s="829">
        <f aca="true" t="shared" si="5" ref="B45:G45">SUM(B40:B44)</f>
        <v>9085651</v>
      </c>
      <c r="C45" s="829">
        <f t="shared" si="5"/>
        <v>2268322</v>
      </c>
      <c r="D45" s="829">
        <f t="shared" si="5"/>
        <v>156237</v>
      </c>
      <c r="E45" s="829">
        <f t="shared" si="5"/>
        <v>68432</v>
      </c>
      <c r="F45" s="829">
        <f t="shared" si="5"/>
        <v>76577</v>
      </c>
      <c r="G45" s="830">
        <f t="shared" si="5"/>
        <v>11655219</v>
      </c>
    </row>
    <row r="46" spans="1:7" s="775" customFormat="1" ht="15" customHeight="1" thickTop="1">
      <c r="A46" s="828"/>
      <c r="B46" s="831"/>
      <c r="C46" s="831"/>
      <c r="D46" s="831"/>
      <c r="E46" s="827"/>
      <c r="F46" s="827"/>
      <c r="G46" s="827"/>
    </row>
    <row r="47" spans="1:7" s="775" customFormat="1" ht="15" customHeight="1">
      <c r="A47" s="836" t="s">
        <v>452</v>
      </c>
      <c r="B47" s="837"/>
      <c r="C47" s="837"/>
      <c r="D47" s="837"/>
      <c r="E47" s="827"/>
      <c r="F47" s="827"/>
      <c r="G47" s="827"/>
    </row>
    <row r="48" spans="1:7" s="775" customFormat="1" ht="15" customHeight="1">
      <c r="A48" s="828" t="s">
        <v>111</v>
      </c>
      <c r="B48" s="827">
        <f>'Premiums QTD-7'!B24</f>
        <v>5678524</v>
      </c>
      <c r="C48" s="827">
        <f>'Premiums QTD-7'!C24</f>
        <v>2034183</v>
      </c>
      <c r="D48" s="827">
        <f>'Premiums QTD-7'!D24</f>
        <v>0</v>
      </c>
      <c r="E48" s="827">
        <f>'Premiums QTD-7'!E24</f>
        <v>0</v>
      </c>
      <c r="F48" s="827">
        <f>'Premiums QTD-7'!F24</f>
        <v>0</v>
      </c>
      <c r="G48" s="827">
        <f aca="true" t="shared" si="6" ref="G48:G53">SUM(B48:F48)</f>
        <v>7712707</v>
      </c>
    </row>
    <row r="49" spans="1:7" s="775" customFormat="1" ht="15" customHeight="1">
      <c r="A49" s="828" t="s">
        <v>154</v>
      </c>
      <c r="B49" s="827">
        <f>'Losses Incurred QTD-9'!B31</f>
        <v>1010489</v>
      </c>
      <c r="C49" s="827">
        <f>'Losses Incurred QTD-9'!C31</f>
        <v>2018916</v>
      </c>
      <c r="D49" s="827">
        <f>'Losses Incurred QTD-9'!D31</f>
        <v>219195</v>
      </c>
      <c r="E49" s="827">
        <f>'Losses Incurred QTD-9'!E31</f>
        <v>55505</v>
      </c>
      <c r="F49" s="827">
        <f>'Losses Incurred QTD-9'!F31</f>
        <v>108981</v>
      </c>
      <c r="G49" s="827">
        <f t="shared" si="6"/>
        <v>3413086</v>
      </c>
    </row>
    <row r="50" spans="1:7" s="775" customFormat="1" ht="15" customHeight="1">
      <c r="A50" s="828" t="s">
        <v>158</v>
      </c>
      <c r="B50" s="827">
        <f>'Loss Expenses QTD-11'!B24</f>
        <v>84146</v>
      </c>
      <c r="C50" s="827">
        <f>'Loss Expenses QTD-11'!C24</f>
        <v>213610</v>
      </c>
      <c r="D50" s="827">
        <f>'Loss Expenses QTD-11'!D24</f>
        <v>54461</v>
      </c>
      <c r="E50" s="827">
        <f>'Loss Expenses QTD-11'!E24</f>
        <v>14100</v>
      </c>
      <c r="F50" s="827">
        <f>'Loss Expenses QTD-11'!F24</f>
        <v>8426</v>
      </c>
      <c r="G50" s="827">
        <f t="shared" si="6"/>
        <v>374743</v>
      </c>
    </row>
    <row r="51" spans="1:7" s="775" customFormat="1" ht="15" customHeight="1">
      <c r="A51" s="828" t="s">
        <v>156</v>
      </c>
      <c r="B51" s="827">
        <f>'Earned Incurred QTD-5'!B42</f>
        <v>144339</v>
      </c>
      <c r="C51" s="827">
        <v>0</v>
      </c>
      <c r="D51" s="827">
        <v>0</v>
      </c>
      <c r="E51" s="827">
        <v>0</v>
      </c>
      <c r="F51" s="827">
        <v>0</v>
      </c>
      <c r="G51" s="827">
        <f t="shared" si="6"/>
        <v>144339</v>
      </c>
    </row>
    <row r="52" spans="1:7" s="775" customFormat="1" ht="15" customHeight="1">
      <c r="A52" s="828" t="s">
        <v>157</v>
      </c>
      <c r="B52" s="827">
        <f>'Earned Incurred QTD-5'!B34</f>
        <v>10529</v>
      </c>
      <c r="C52" s="827">
        <v>0</v>
      </c>
      <c r="D52" s="827">
        <v>0</v>
      </c>
      <c r="E52" s="827">
        <v>0</v>
      </c>
      <c r="F52" s="827">
        <v>0</v>
      </c>
      <c r="G52" s="827">
        <f t="shared" si="6"/>
        <v>10529</v>
      </c>
    </row>
    <row r="53" spans="1:7" s="775" customFormat="1" ht="15" customHeight="1" thickBot="1">
      <c r="A53" s="828" t="s">
        <v>136</v>
      </c>
      <c r="B53" s="829">
        <f>SUM(B48:B52)</f>
        <v>6928027</v>
      </c>
      <c r="C53" s="829">
        <f>SUM(C48:C52)</f>
        <v>4266709</v>
      </c>
      <c r="D53" s="829">
        <f>SUM(D48:D52)</f>
        <v>273656</v>
      </c>
      <c r="E53" s="829">
        <f>SUM(E48:E52)</f>
        <v>69605</v>
      </c>
      <c r="F53" s="829">
        <f>SUM(F48:F52)</f>
        <v>117407</v>
      </c>
      <c r="G53" s="830">
        <f t="shared" si="6"/>
        <v>11655404</v>
      </c>
    </row>
    <row r="54" spans="1:7" s="775" customFormat="1" ht="15" customHeight="1" thickTop="1">
      <c r="A54" s="828"/>
      <c r="B54" s="831"/>
      <c r="C54" s="831"/>
      <c r="D54" s="831"/>
      <c r="E54" s="831"/>
      <c r="F54" s="831"/>
      <c r="G54" s="485"/>
    </row>
    <row r="55" spans="1:8" s="775" customFormat="1" ht="15" customHeight="1" thickBot="1">
      <c r="A55" s="834" t="s">
        <v>159</v>
      </c>
      <c r="B55" s="929">
        <f aca="true" t="shared" si="7" ref="B55:G55">B37-B45+B53</f>
        <v>-386071.8100000005</v>
      </c>
      <c r="C55" s="929">
        <f t="shared" si="7"/>
        <v>470571</v>
      </c>
      <c r="D55" s="929">
        <f t="shared" si="7"/>
        <v>115822</v>
      </c>
      <c r="E55" s="929">
        <f t="shared" si="7"/>
        <v>-2653</v>
      </c>
      <c r="F55" s="929">
        <f t="shared" si="7"/>
        <v>7503</v>
      </c>
      <c r="G55" s="929">
        <f t="shared" si="7"/>
        <v>205171.18999999948</v>
      </c>
      <c r="H55" s="779"/>
    </row>
    <row r="56" spans="1:8" s="775" customFormat="1" ht="15" customHeight="1" thickTop="1">
      <c r="A56" s="778"/>
      <c r="B56" s="779"/>
      <c r="C56" s="779"/>
      <c r="D56" s="801"/>
      <c r="E56" s="801"/>
      <c r="F56" s="801"/>
      <c r="G56" s="801"/>
      <c r="H56" s="779"/>
    </row>
    <row r="57" spans="1:9" s="775" customFormat="1" ht="15" customHeight="1">
      <c r="A57" s="778"/>
      <c r="B57" s="779"/>
      <c r="C57" s="779"/>
      <c r="D57" s="801"/>
      <c r="E57" s="801"/>
      <c r="F57" s="801"/>
      <c r="G57" s="801"/>
      <c r="H57" s="779"/>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asatar</cp:lastModifiedBy>
  <cp:lastPrinted>2008-11-17T20:34:43Z</cp:lastPrinted>
  <dcterms:created xsi:type="dcterms:W3CDTF">1999-07-28T13:02:54Z</dcterms:created>
  <dcterms:modified xsi:type="dcterms:W3CDTF">2008-11-17T20:34:46Z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